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https://savethechildren1-my.sharepoint.com/personal/mohamed_mussa_savethechildren_org/Documents/Desktop/"/>
    </mc:Choice>
  </mc:AlternateContent>
  <xr:revisionPtr revIDLastSave="0" documentId="8_{254CB5B8-A522-473D-9AC8-17D7E3726D8D}" xr6:coauthVersionLast="47" xr6:coauthVersionMax="47" xr10:uidLastSave="{00000000-0000-0000-0000-000000000000}"/>
  <bookViews>
    <workbookView xWindow="-110" yWindow="-110" windowWidth="19420" windowHeight="11500" tabRatio="918" activeTab="2" xr2:uid="{C5C5EA3A-B5C3-4163-8673-B1B00BCF740D}"/>
  </bookViews>
  <sheets>
    <sheet name="General Preliminaries" sheetId="41" r:id="rId1"/>
    <sheet name="Summary For Lot 11" sheetId="42" r:id="rId2"/>
    <sheet name="Ceel-Jaale PS" sheetId="46" r:id="rId3"/>
    <sheet name="Hiran-Bile PS" sheetId="47" r:id="rId4"/>
    <sheet name="3Classrooms" sheetId="2" state="hidden" r:id="rId5"/>
    <sheet name="2 Classrooms" sheetId="4" state="hidden" r:id="rId6"/>
    <sheet name="4 Classrooms" sheetId="5" state="hidden" r:id="rId7"/>
    <sheet name="Two Toilets" sheetId="3" state="hidden" r:id="rId8"/>
    <sheet name="3Toilets" sheetId="6"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46" l="1"/>
  <c r="C8" i="42"/>
  <c r="B105" i="47"/>
  <c r="B104" i="47"/>
  <c r="A104" i="47"/>
  <c r="B103" i="47"/>
  <c r="A103" i="47"/>
  <c r="B102" i="47"/>
  <c r="A102" i="47"/>
  <c r="E98" i="47"/>
  <c r="F97" i="47"/>
  <c r="F95" i="47"/>
  <c r="F94" i="47"/>
  <c r="F93" i="47"/>
  <c r="D90" i="47"/>
  <c r="D91" i="47" s="1"/>
  <c r="F91" i="47" s="1"/>
  <c r="D89" i="47"/>
  <c r="F89" i="47" s="1"/>
  <c r="F84" i="47"/>
  <c r="F82" i="47"/>
  <c r="F81" i="47"/>
  <c r="F80" i="47"/>
  <c r="F79" i="47"/>
  <c r="F78" i="47"/>
  <c r="F77" i="47"/>
  <c r="F74" i="47"/>
  <c r="F73" i="47"/>
  <c r="F72" i="47"/>
  <c r="D68" i="47"/>
  <c r="D69" i="47" s="1"/>
  <c r="F69" i="47" s="1"/>
  <c r="F67" i="47"/>
  <c r="D67" i="47"/>
  <c r="F66" i="47"/>
  <c r="F65" i="47"/>
  <c r="D64" i="47"/>
  <c r="F64" i="47" s="1"/>
  <c r="F63" i="47"/>
  <c r="F62" i="47"/>
  <c r="F61" i="47"/>
  <c r="F60" i="47"/>
  <c r="F58" i="47"/>
  <c r="D58" i="47"/>
  <c r="F57" i="47"/>
  <c r="F56" i="47"/>
  <c r="D56" i="47"/>
  <c r="D53" i="47"/>
  <c r="F53" i="47" s="1"/>
  <c r="F52" i="47"/>
  <c r="D52" i="47"/>
  <c r="F51" i="47"/>
  <c r="D51" i="47"/>
  <c r="F50" i="47"/>
  <c r="F49" i="47"/>
  <c r="D49" i="47"/>
  <c r="D48" i="47"/>
  <c r="F48" i="47" s="1"/>
  <c r="F47" i="47"/>
  <c r="D46" i="47"/>
  <c r="F46" i="47" s="1"/>
  <c r="F45" i="47"/>
  <c r="D45" i="47"/>
  <c r="F44" i="47"/>
  <c r="F43" i="47"/>
  <c r="D43" i="47"/>
  <c r="D42" i="47"/>
  <c r="F42" i="47" s="1"/>
  <c r="D41" i="47"/>
  <c r="F41" i="47" s="1"/>
  <c r="D40" i="47"/>
  <c r="F40" i="47" s="1"/>
  <c r="F39" i="47"/>
  <c r="D39" i="47"/>
  <c r="F38" i="47"/>
  <c r="D38" i="47"/>
  <c r="E34" i="47"/>
  <c r="F33" i="47"/>
  <c r="F32" i="47"/>
  <c r="D31" i="47"/>
  <c r="F31" i="47" s="1"/>
  <c r="F30" i="47"/>
  <c r="F26" i="47"/>
  <c r="D25" i="47"/>
  <c r="F25" i="47" s="1"/>
  <c r="F24" i="47"/>
  <c r="D24" i="47"/>
  <c r="F23" i="47"/>
  <c r="D23" i="47"/>
  <c r="D22" i="47"/>
  <c r="F22" i="47" s="1"/>
  <c r="D21" i="47"/>
  <c r="F21" i="47" s="1"/>
  <c r="D20" i="47"/>
  <c r="F20" i="47" s="1"/>
  <c r="D19" i="47"/>
  <c r="F19" i="47" s="1"/>
  <c r="F18" i="47"/>
  <c r="D18" i="47"/>
  <c r="F17" i="47"/>
  <c r="D17" i="47"/>
  <c r="D16" i="47"/>
  <c r="F16" i="47" s="1"/>
  <c r="D15" i="47"/>
  <c r="F15" i="47" s="1"/>
  <c r="F14" i="47"/>
  <c r="D14" i="47"/>
  <c r="F13" i="47"/>
  <c r="D13" i="47"/>
  <c r="D12" i="47"/>
  <c r="F12" i="47" s="1"/>
  <c r="D11" i="47"/>
  <c r="F11" i="47" s="1"/>
  <c r="D10" i="47"/>
  <c r="F10" i="47" s="1"/>
  <c r="D9" i="47"/>
  <c r="F9" i="47" s="1"/>
  <c r="F8" i="47"/>
  <c r="D8" i="47"/>
  <c r="F7" i="47"/>
  <c r="D7" i="47"/>
  <c r="B105" i="46"/>
  <c r="B104" i="46"/>
  <c r="A104" i="46"/>
  <c r="B103" i="46"/>
  <c r="A103" i="46"/>
  <c r="B102" i="46"/>
  <c r="A102" i="46"/>
  <c r="E98" i="46"/>
  <c r="F97" i="46"/>
  <c r="F95" i="46"/>
  <c r="F94" i="46"/>
  <c r="F93" i="46"/>
  <c r="D90" i="46"/>
  <c r="D91" i="46" s="1"/>
  <c r="F91" i="46" s="1"/>
  <c r="D89" i="46"/>
  <c r="F89" i="46" s="1"/>
  <c r="F84" i="46"/>
  <c r="F82" i="46"/>
  <c r="F81" i="46"/>
  <c r="F80" i="46"/>
  <c r="F79" i="46"/>
  <c r="F78" i="46"/>
  <c r="F77" i="46"/>
  <c r="F74" i="46"/>
  <c r="F73" i="46"/>
  <c r="F72" i="46"/>
  <c r="D68" i="46"/>
  <c r="D69" i="46" s="1"/>
  <c r="F69" i="46" s="1"/>
  <c r="D67" i="46"/>
  <c r="F67" i="46" s="1"/>
  <c r="F66" i="46"/>
  <c r="F65" i="46"/>
  <c r="D64" i="46"/>
  <c r="F64" i="46" s="1"/>
  <c r="F63" i="46"/>
  <c r="F62" i="46"/>
  <c r="F61" i="46"/>
  <c r="F60" i="46"/>
  <c r="D58" i="46"/>
  <c r="F58" i="46" s="1"/>
  <c r="F57" i="46"/>
  <c r="D56" i="46"/>
  <c r="F56" i="46" s="1"/>
  <c r="D53" i="46"/>
  <c r="F53" i="46" s="1"/>
  <c r="D52" i="46"/>
  <c r="F52" i="46" s="1"/>
  <c r="D51" i="46"/>
  <c r="F51" i="46" s="1"/>
  <c r="F50" i="46"/>
  <c r="D49" i="46"/>
  <c r="F49" i="46" s="1"/>
  <c r="D48" i="46"/>
  <c r="F48" i="46" s="1"/>
  <c r="F47" i="46"/>
  <c r="D46" i="46"/>
  <c r="F46" i="46" s="1"/>
  <c r="D45" i="46"/>
  <c r="F45" i="46" s="1"/>
  <c r="F44" i="46"/>
  <c r="D43" i="46"/>
  <c r="F43" i="46" s="1"/>
  <c r="D42" i="46"/>
  <c r="F42" i="46" s="1"/>
  <c r="D41" i="46"/>
  <c r="F41" i="46" s="1"/>
  <c r="D40" i="46"/>
  <c r="F40" i="46" s="1"/>
  <c r="D39" i="46"/>
  <c r="F39" i="46" s="1"/>
  <c r="D38" i="46"/>
  <c r="F38" i="46" s="1"/>
  <c r="E34" i="46"/>
  <c r="F33" i="46"/>
  <c r="F32" i="46"/>
  <c r="D31" i="46"/>
  <c r="F31" i="46" s="1"/>
  <c r="F30" i="46"/>
  <c r="F26" i="46"/>
  <c r="D25" i="46"/>
  <c r="F25" i="46" s="1"/>
  <c r="D24" i="46"/>
  <c r="F24" i="46" s="1"/>
  <c r="D23" i="46"/>
  <c r="F23" i="46" s="1"/>
  <c r="D22" i="46"/>
  <c r="F22" i="46" s="1"/>
  <c r="D21" i="46"/>
  <c r="F21" i="46" s="1"/>
  <c r="D20" i="46"/>
  <c r="F20" i="46" s="1"/>
  <c r="D19" i="46"/>
  <c r="D27" i="46" s="1"/>
  <c r="D18" i="46"/>
  <c r="F18" i="46" s="1"/>
  <c r="D17" i="46"/>
  <c r="F17" i="46" s="1"/>
  <c r="D16" i="46"/>
  <c r="F16" i="46" s="1"/>
  <c r="D15" i="46"/>
  <c r="F15" i="46" s="1"/>
  <c r="D14" i="46"/>
  <c r="F14" i="46" s="1"/>
  <c r="D13" i="46"/>
  <c r="F13" i="46" s="1"/>
  <c r="D12" i="46"/>
  <c r="F12" i="46" s="1"/>
  <c r="D11" i="46"/>
  <c r="F11" i="46" s="1"/>
  <c r="D10" i="46"/>
  <c r="F10" i="46" s="1"/>
  <c r="D9" i="46"/>
  <c r="F9" i="46" s="1"/>
  <c r="D8" i="46"/>
  <c r="F8" i="46" s="1"/>
  <c r="D7" i="46"/>
  <c r="F7" i="46" s="1"/>
  <c r="F90" i="47" l="1"/>
  <c r="F98" i="47" s="1"/>
  <c r="E104" i="47" s="1"/>
  <c r="F68" i="47"/>
  <c r="F85" i="47" s="1"/>
  <c r="F86" i="47" s="1"/>
  <c r="E103" i="47" s="1"/>
  <c r="D27" i="47"/>
  <c r="F68" i="46"/>
  <c r="F85" i="46"/>
  <c r="F86" i="46" s="1"/>
  <c r="E103" i="46" s="1"/>
  <c r="F27" i="46"/>
  <c r="D28" i="46"/>
  <c r="F19" i="46"/>
  <c r="F90" i="46"/>
  <c r="F98" i="46" s="1"/>
  <c r="E104" i="46" s="1"/>
  <c r="D28" i="47" l="1"/>
  <c r="F27" i="47"/>
  <c r="F28" i="46"/>
  <c r="D29" i="46"/>
  <c r="F29" i="46" s="1"/>
  <c r="F34" i="47" l="1"/>
  <c r="E102" i="47" s="1"/>
  <c r="E105" i="47" s="1"/>
  <c r="D29" i="47"/>
  <c r="F29" i="47" s="1"/>
  <c r="F28" i="47"/>
  <c r="E102" i="46"/>
  <c r="E105" i="46" s="1"/>
  <c r="C7" i="42" s="1"/>
  <c r="C9" i="42" s="1"/>
  <c r="C30" i="4" l="1"/>
  <c r="C31" i="4"/>
  <c r="C32" i="4"/>
  <c r="B6" i="4"/>
  <c r="A7" i="4"/>
  <c r="B7" i="4"/>
  <c r="C7" i="4"/>
  <c r="A8" i="4"/>
  <c r="B8" i="4"/>
  <c r="C8" i="4"/>
  <c r="A9" i="4"/>
  <c r="B9" i="4"/>
  <c r="C9" i="4"/>
  <c r="A10" i="4"/>
  <c r="B10" i="4"/>
  <c r="C10" i="4"/>
  <c r="A11" i="4"/>
  <c r="B11" i="4"/>
  <c r="C11" i="4"/>
  <c r="A12" i="4"/>
  <c r="B12" i="4"/>
  <c r="C12" i="4"/>
  <c r="A13" i="4"/>
  <c r="B13" i="4"/>
  <c r="C13" i="4"/>
  <c r="A14" i="4"/>
  <c r="B14" i="4"/>
  <c r="C14" i="4"/>
  <c r="A15" i="4"/>
  <c r="B15" i="4"/>
  <c r="C15" i="4"/>
  <c r="A16" i="4"/>
  <c r="B16" i="4"/>
  <c r="C16" i="4"/>
  <c r="A17" i="4"/>
  <c r="B17" i="4"/>
  <c r="C17" i="4"/>
  <c r="A18" i="4"/>
  <c r="B18" i="4"/>
  <c r="C18" i="4"/>
  <c r="A19" i="4"/>
  <c r="B19" i="4"/>
  <c r="C19" i="4"/>
  <c r="A20" i="4"/>
  <c r="B20" i="4"/>
  <c r="C20" i="4"/>
  <c r="A21" i="4"/>
  <c r="B21" i="4"/>
  <c r="C21" i="4"/>
  <c r="A22" i="4"/>
  <c r="B22" i="4"/>
  <c r="C22" i="4"/>
  <c r="A23" i="4"/>
  <c r="B23" i="4"/>
  <c r="C23" i="4"/>
  <c r="A24" i="4"/>
  <c r="B24" i="4"/>
  <c r="C24" i="4"/>
  <c r="A25" i="4"/>
  <c r="B25" i="4"/>
  <c r="C25" i="4"/>
  <c r="A26" i="4"/>
  <c r="B26" i="4"/>
  <c r="C26" i="4"/>
  <c r="A27" i="4"/>
  <c r="B27" i="4"/>
  <c r="C27" i="4"/>
  <c r="A28" i="4"/>
  <c r="B28" i="4"/>
  <c r="C28" i="4"/>
  <c r="A29" i="4"/>
  <c r="B29" i="4"/>
  <c r="C29" i="4"/>
  <c r="A30" i="4"/>
  <c r="B30" i="4"/>
  <c r="A31" i="4"/>
  <c r="A32" i="4"/>
  <c r="B32" i="4"/>
  <c r="C6" i="4"/>
  <c r="A6" i="4"/>
  <c r="D7" i="2"/>
  <c r="F7" i="2" s="1"/>
  <c r="D8" i="2"/>
  <c r="A7" i="2"/>
  <c r="B7" i="2"/>
  <c r="C7" i="2"/>
  <c r="A8" i="2"/>
  <c r="B8" i="2"/>
  <c r="C8" i="2"/>
  <c r="A9" i="2"/>
  <c r="B9" i="2"/>
  <c r="C9" i="2"/>
  <c r="A10" i="2"/>
  <c r="B10" i="2"/>
  <c r="C10" i="2"/>
  <c r="A11" i="2"/>
  <c r="B11" i="2"/>
  <c r="C11" i="2"/>
  <c r="A12" i="2"/>
  <c r="B12" i="2"/>
  <c r="C12" i="2"/>
  <c r="A13" i="2"/>
  <c r="B13" i="2"/>
  <c r="C13" i="2"/>
  <c r="A14" i="2"/>
  <c r="B14" i="2"/>
  <c r="C14" i="2"/>
  <c r="A15" i="2"/>
  <c r="B15" i="2"/>
  <c r="C15" i="2"/>
  <c r="A16" i="2"/>
  <c r="B16" i="2"/>
  <c r="C16" i="2"/>
  <c r="A17" i="2"/>
  <c r="B17" i="2"/>
  <c r="C17" i="2"/>
  <c r="A18" i="2"/>
  <c r="B18" i="2"/>
  <c r="C18" i="2"/>
  <c r="A19" i="2"/>
  <c r="B19" i="2"/>
  <c r="C19" i="2"/>
  <c r="A20" i="2"/>
  <c r="B20" i="2"/>
  <c r="C20" i="2"/>
  <c r="A21" i="2"/>
  <c r="B21" i="2"/>
  <c r="C21" i="2"/>
  <c r="A22" i="2"/>
  <c r="B22" i="2"/>
  <c r="C22" i="2"/>
  <c r="A23" i="2"/>
  <c r="B23" i="2"/>
  <c r="C23" i="2"/>
  <c r="A24" i="2"/>
  <c r="B24" i="2"/>
  <c r="C24" i="2"/>
  <c r="A25" i="2"/>
  <c r="B25" i="2"/>
  <c r="C25" i="2"/>
  <c r="A26" i="2"/>
  <c r="B26" i="2"/>
  <c r="C26" i="2"/>
  <c r="A27" i="2"/>
  <c r="B27" i="2"/>
  <c r="C27" i="2"/>
  <c r="A28" i="2"/>
  <c r="B28" i="2"/>
  <c r="C28" i="2"/>
  <c r="A29" i="2"/>
  <c r="B29" i="2"/>
  <c r="C29" i="2"/>
  <c r="A30" i="2"/>
  <c r="B30" i="2"/>
  <c r="C30" i="2"/>
  <c r="A31" i="2"/>
  <c r="C31" i="2"/>
  <c r="A32" i="2"/>
  <c r="B32" i="2"/>
  <c r="C32" i="2"/>
  <c r="B6" i="2"/>
  <c r="C6" i="2"/>
  <c r="A6" i="2"/>
  <c r="D7" i="5" l="1"/>
  <c r="F7" i="5" s="1"/>
  <c r="D8" i="5"/>
  <c r="D39" i="6" l="1"/>
  <c r="D38" i="6"/>
  <c r="F38" i="6" s="1"/>
  <c r="D37" i="6"/>
  <c r="F37" i="6" s="1"/>
  <c r="F35" i="6"/>
  <c r="D34" i="6"/>
  <c r="F34" i="6" s="1"/>
  <c r="D28" i="6"/>
  <c r="F28" i="6" s="1"/>
  <c r="D26" i="6"/>
  <c r="F26" i="6" s="1"/>
  <c r="D23" i="6"/>
  <c r="F23" i="6"/>
  <c r="D22" i="6"/>
  <c r="F22" i="6" s="1"/>
  <c r="D21" i="6"/>
  <c r="F21" i="6" s="1"/>
  <c r="D19" i="6"/>
  <c r="F19" i="6" s="1"/>
  <c r="D18" i="6"/>
  <c r="F18" i="6" s="1"/>
  <c r="D15" i="6"/>
  <c r="F15" i="6" s="1"/>
  <c r="D13" i="6"/>
  <c r="F13" i="6" s="1"/>
  <c r="D12" i="6"/>
  <c r="F12" i="6" s="1"/>
  <c r="D11" i="6"/>
  <c r="F11" i="6" s="1"/>
  <c r="D10" i="3"/>
  <c r="D10" i="6"/>
  <c r="F10" i="6" s="1"/>
  <c r="D8" i="6"/>
  <c r="F8" i="6" s="1"/>
  <c r="F54" i="6"/>
  <c r="F52" i="6"/>
  <c r="F51" i="6"/>
  <c r="F50" i="6"/>
  <c r="F49" i="6"/>
  <c r="F48" i="6"/>
  <c r="F47" i="6"/>
  <c r="F44" i="6"/>
  <c r="F43" i="6"/>
  <c r="F42" i="6"/>
  <c r="F36" i="6"/>
  <c r="F33" i="6"/>
  <c r="F32" i="6"/>
  <c r="F31" i="6"/>
  <c r="F30" i="6"/>
  <c r="F27" i="6"/>
  <c r="F20" i="6"/>
  <c r="F17" i="6"/>
  <c r="D16" i="6"/>
  <c r="F16" i="6" s="1"/>
  <c r="F14" i="6"/>
  <c r="D9" i="6"/>
  <c r="F9" i="6" s="1"/>
  <c r="D8" i="3"/>
  <c r="D9" i="3"/>
  <c r="D30" i="5"/>
  <c r="D24" i="5"/>
  <c r="D23" i="5"/>
  <c r="D22" i="5"/>
  <c r="D21" i="5"/>
  <c r="D20" i="5"/>
  <c r="D19" i="5"/>
  <c r="D18" i="5"/>
  <c r="D26" i="5" s="1"/>
  <c r="D17" i="5"/>
  <c r="D16" i="5"/>
  <c r="D15" i="5"/>
  <c r="D14" i="5"/>
  <c r="D13" i="5"/>
  <c r="D12" i="5"/>
  <c r="D11" i="5"/>
  <c r="D10" i="5"/>
  <c r="F39" i="6" l="1"/>
  <c r="F55" i="6" s="1"/>
  <c r="D9" i="5" l="1"/>
  <c r="F9" i="5" s="1"/>
  <c r="F8" i="5"/>
  <c r="D6" i="5"/>
  <c r="F6" i="5" s="1"/>
  <c r="F32" i="5"/>
  <c r="F31" i="5"/>
  <c r="F30" i="5"/>
  <c r="F29" i="5"/>
  <c r="D27" i="5"/>
  <c r="F25" i="5"/>
  <c r="F24" i="5"/>
  <c r="F23" i="5"/>
  <c r="F22" i="5"/>
  <c r="F21" i="5"/>
  <c r="F20" i="5"/>
  <c r="F19" i="5"/>
  <c r="F18" i="5"/>
  <c r="F17" i="5"/>
  <c r="F16" i="5"/>
  <c r="F15" i="5"/>
  <c r="F14" i="5"/>
  <c r="F13" i="5"/>
  <c r="F12" i="5"/>
  <c r="F11" i="5"/>
  <c r="F10" i="5"/>
  <c r="D18" i="2"/>
  <c r="D26" i="2" s="1"/>
  <c r="D27" i="2" s="1"/>
  <c r="D18" i="4"/>
  <c r="F18" i="4" s="1"/>
  <c r="D30" i="4"/>
  <c r="F30" i="4" s="1"/>
  <c r="D24" i="4"/>
  <c r="F24" i="4" s="1"/>
  <c r="D23" i="4"/>
  <c r="F23" i="4" s="1"/>
  <c r="D22" i="4"/>
  <c r="F22" i="4" s="1"/>
  <c r="D21" i="4"/>
  <c r="F21" i="4" s="1"/>
  <c r="D20" i="4"/>
  <c r="F20" i="4" s="1"/>
  <c r="D19" i="4"/>
  <c r="F19" i="4" s="1"/>
  <c r="D17" i="4"/>
  <c r="F17" i="4" s="1"/>
  <c r="D15" i="4"/>
  <c r="F15" i="4" s="1"/>
  <c r="D14" i="4"/>
  <c r="F14" i="4" s="1"/>
  <c r="D16" i="4"/>
  <c r="F16" i="4" s="1"/>
  <c r="D13" i="4"/>
  <c r="F13" i="4" s="1"/>
  <c r="D12" i="4"/>
  <c r="F12" i="4" s="1"/>
  <c r="D11" i="4"/>
  <c r="F11" i="4" s="1"/>
  <c r="D10" i="4"/>
  <c r="F10" i="4" s="1"/>
  <c r="D9" i="4"/>
  <c r="F9" i="4" s="1"/>
  <c r="D8" i="4"/>
  <c r="F8" i="4" s="1"/>
  <c r="D6" i="4"/>
  <c r="F6" i="4" s="1"/>
  <c r="F32" i="4"/>
  <c r="F31" i="4"/>
  <c r="F29" i="4"/>
  <c r="F25" i="4"/>
  <c r="D38" i="3"/>
  <c r="D39" i="3" s="1"/>
  <c r="F39" i="3" s="1"/>
  <c r="D23" i="3"/>
  <c r="D37" i="3"/>
  <c r="F37" i="3" s="1"/>
  <c r="D34" i="3"/>
  <c r="F34" i="3"/>
  <c r="D28" i="3"/>
  <c r="F28" i="3" s="1"/>
  <c r="D26" i="3"/>
  <c r="F26" i="3" s="1"/>
  <c r="D22" i="3"/>
  <c r="F22" i="3" s="1"/>
  <c r="D21" i="3"/>
  <c r="F21" i="3" s="1"/>
  <c r="D19" i="3"/>
  <c r="F19" i="3" s="1"/>
  <c r="D18" i="3"/>
  <c r="D15" i="3"/>
  <c r="F15" i="3" s="1"/>
  <c r="D13" i="3"/>
  <c r="F13" i="3" s="1"/>
  <c r="D12" i="3"/>
  <c r="F12" i="3" s="1"/>
  <c r="D11" i="3"/>
  <c r="F11" i="3" s="1"/>
  <c r="F8" i="3"/>
  <c r="L54" i="3"/>
  <c r="L52" i="3"/>
  <c r="L51" i="3"/>
  <c r="L50" i="3"/>
  <c r="L49" i="3"/>
  <c r="L48" i="3"/>
  <c r="L47" i="3"/>
  <c r="L44" i="3"/>
  <c r="L42" i="3"/>
  <c r="J38" i="3"/>
  <c r="J39" i="3" s="1"/>
  <c r="L39" i="3" s="1"/>
  <c r="J37" i="3"/>
  <c r="L37" i="3" s="1"/>
  <c r="L35" i="3"/>
  <c r="J34" i="3"/>
  <c r="L34" i="3" s="1"/>
  <c r="L32" i="3"/>
  <c r="L31" i="3"/>
  <c r="L30" i="3"/>
  <c r="J28" i="3"/>
  <c r="L28" i="3" s="1"/>
  <c r="J26" i="3"/>
  <c r="L26" i="3" s="1"/>
  <c r="L23" i="3"/>
  <c r="J22" i="3"/>
  <c r="L22" i="3" s="1"/>
  <c r="J21" i="3"/>
  <c r="L21" i="3" s="1"/>
  <c r="J18" i="3"/>
  <c r="J19" i="3" s="1"/>
  <c r="L19" i="3" s="1"/>
  <c r="J16" i="3"/>
  <c r="L16" i="3" s="1"/>
  <c r="J15" i="3"/>
  <c r="L15" i="3" s="1"/>
  <c r="J13" i="3"/>
  <c r="L13" i="3" s="1"/>
  <c r="J12" i="3"/>
  <c r="L12" i="3" s="1"/>
  <c r="J11" i="3"/>
  <c r="L11" i="3" s="1"/>
  <c r="J10" i="3"/>
  <c r="L10" i="3" s="1"/>
  <c r="J9" i="3"/>
  <c r="L9" i="3" s="1"/>
  <c r="J8" i="3"/>
  <c r="L8" i="3" s="1"/>
  <c r="F54" i="3"/>
  <c r="F52" i="3"/>
  <c r="F51" i="3"/>
  <c r="F50" i="3"/>
  <c r="F49" i="3"/>
  <c r="F48" i="3"/>
  <c r="F47" i="3"/>
  <c r="F44" i="3"/>
  <c r="F43" i="3"/>
  <c r="F42" i="3"/>
  <c r="F36" i="3"/>
  <c r="F35" i="3"/>
  <c r="F33" i="3"/>
  <c r="F32" i="3"/>
  <c r="F31" i="3"/>
  <c r="F30" i="3"/>
  <c r="F27" i="3"/>
  <c r="F23" i="3"/>
  <c r="F20" i="3"/>
  <c r="F17" i="3"/>
  <c r="D16" i="3"/>
  <c r="F16" i="3" s="1"/>
  <c r="F14" i="3"/>
  <c r="F10" i="3"/>
  <c r="F9" i="3"/>
  <c r="D26" i="4" l="1"/>
  <c r="D27" i="4" s="1"/>
  <c r="D28" i="4" s="1"/>
  <c r="F28" i="4" s="1"/>
  <c r="D28" i="5"/>
  <c r="F28" i="5" s="1"/>
  <c r="F27" i="5"/>
  <c r="F26" i="5"/>
  <c r="L18" i="3"/>
  <c r="L38" i="3"/>
  <c r="F38" i="3"/>
  <c r="F18" i="3"/>
  <c r="F26" i="4" l="1"/>
  <c r="F27" i="4"/>
  <c r="F33" i="5"/>
  <c r="L55" i="3"/>
  <c r="F55" i="3"/>
  <c r="F33" i="4" l="1"/>
  <c r="H33" i="4" s="1"/>
  <c r="F25" i="2"/>
  <c r="F29" i="2"/>
  <c r="F31" i="2"/>
  <c r="F32" i="2"/>
  <c r="D30" i="2"/>
  <c r="F30" i="2" s="1"/>
  <c r="D28" i="2"/>
  <c r="F28" i="2" s="1"/>
  <c r="D24" i="2"/>
  <c r="F24" i="2" s="1"/>
  <c r="D23" i="2"/>
  <c r="F23" i="2" s="1"/>
  <c r="D22" i="2"/>
  <c r="F22" i="2" s="1"/>
  <c r="D21" i="2"/>
  <c r="F21" i="2" s="1"/>
  <c r="H21" i="2"/>
  <c r="J21" i="2" s="1"/>
  <c r="D19" i="2"/>
  <c r="F19" i="2" s="1"/>
  <c r="D20" i="2"/>
  <c r="F20" i="2" s="1"/>
  <c r="F18" i="2"/>
  <c r="D13" i="2"/>
  <c r="F13" i="2" s="1"/>
  <c r="H20" i="2"/>
  <c r="J20" i="2" s="1"/>
  <c r="D17" i="2"/>
  <c r="F17" i="2" s="1"/>
  <c r="D16" i="2"/>
  <c r="F16" i="2" s="1"/>
  <c r="D15" i="2"/>
  <c r="F15" i="2" s="1"/>
  <c r="D14" i="2"/>
  <c r="F14" i="2" s="1"/>
  <c r="D12" i="2"/>
  <c r="F12" i="2" s="1"/>
  <c r="D11" i="2"/>
  <c r="F11" i="2" s="1"/>
  <c r="D10" i="2"/>
  <c r="F10" i="2" s="1"/>
  <c r="D9" i="2"/>
  <c r="F9" i="2" s="1"/>
  <c r="F8" i="2"/>
  <c r="D6" i="2"/>
  <c r="F6" i="2" s="1"/>
  <c r="H6" i="2"/>
  <c r="J6" i="2" s="1"/>
  <c r="H9" i="2"/>
  <c r="J9" i="2" s="1"/>
  <c r="H8" i="2"/>
  <c r="J8" i="2" s="1"/>
  <c r="J32" i="2"/>
  <c r="J31" i="2"/>
  <c r="H30" i="2"/>
  <c r="J30" i="2" s="1"/>
  <c r="J29" i="2"/>
  <c r="H28" i="2"/>
  <c r="J28" i="2" s="1"/>
  <c r="H26" i="2"/>
  <c r="J26" i="2" s="1"/>
  <c r="J25" i="2"/>
  <c r="H24" i="2"/>
  <c r="J24" i="2" s="1"/>
  <c r="H23" i="2"/>
  <c r="J23" i="2" s="1"/>
  <c r="H22" i="2"/>
  <c r="J22" i="2" s="1"/>
  <c r="H19" i="2"/>
  <c r="J19" i="2" s="1"/>
  <c r="H18" i="2"/>
  <c r="J18" i="2" s="1"/>
  <c r="H17" i="2"/>
  <c r="J17" i="2" s="1"/>
  <c r="H15" i="2"/>
  <c r="H16" i="2" s="1"/>
  <c r="H14" i="2"/>
  <c r="J14" i="2" s="1"/>
  <c r="H13" i="2"/>
  <c r="J13" i="2" s="1"/>
  <c r="H12" i="2"/>
  <c r="J12" i="2" s="1"/>
  <c r="H11" i="2"/>
  <c r="J11" i="2" s="1"/>
  <c r="H10" i="2"/>
  <c r="J10" i="2" s="1"/>
  <c r="F27" i="2" l="1"/>
  <c r="F26" i="2"/>
  <c r="F33" i="2"/>
  <c r="F36" i="2" s="1"/>
  <c r="J16" i="2"/>
  <c r="H27" i="2"/>
  <c r="J27" i="2" s="1"/>
  <c r="J15" i="2"/>
  <c r="J33" i="2" l="1"/>
  <c r="M32" i="2"/>
  <c r="M31" i="2"/>
  <c r="K30" i="2"/>
  <c r="M30" i="2" s="1"/>
  <c r="K28" i="2"/>
  <c r="M28" i="2" s="1"/>
  <c r="K26" i="2"/>
  <c r="K27" i="2" s="1"/>
  <c r="M27" i="2" s="1"/>
  <c r="M25" i="2"/>
  <c r="K23" i="2"/>
  <c r="M23" i="2" s="1"/>
  <c r="K21" i="2"/>
  <c r="M21" i="2" s="1"/>
  <c r="K20" i="2"/>
  <c r="M20" i="2" s="1"/>
  <c r="K19" i="2"/>
  <c r="M19" i="2" s="1"/>
  <c r="K18" i="2"/>
  <c r="M18" i="2" s="1"/>
  <c r="K22" i="2"/>
  <c r="M22" i="2" s="1"/>
  <c r="K17" i="2"/>
  <c r="M17" i="2" s="1"/>
  <c r="K15" i="2"/>
  <c r="K16" i="2" s="1"/>
  <c r="K14" i="2"/>
  <c r="M14" i="2" s="1"/>
  <c r="K13" i="2"/>
  <c r="M13" i="2" s="1"/>
  <c r="K12" i="2"/>
  <c r="M12" i="2" s="1"/>
  <c r="K11" i="2"/>
  <c r="M11" i="2" s="1"/>
  <c r="K10" i="2"/>
  <c r="M10" i="2" s="1"/>
  <c r="K9" i="2"/>
  <c r="M9" i="2" s="1"/>
  <c r="K8" i="2"/>
  <c r="M8" i="2" s="1"/>
  <c r="K6" i="2"/>
  <c r="M6" i="2" s="1"/>
  <c r="M5" i="2"/>
  <c r="M16" i="2" l="1"/>
  <c r="K24" i="2"/>
  <c r="M24" i="2" s="1"/>
  <c r="M15" i="2"/>
  <c r="M26" i="2"/>
  <c r="M33" i="2" l="1"/>
</calcChain>
</file>

<file path=xl/sharedStrings.xml><?xml version="1.0" encoding="utf-8"?>
<sst xmlns="http://schemas.openxmlformats.org/spreadsheetml/2006/main" count="839" uniqueCount="248">
  <si>
    <t>GENERAL PRELIMINARIES</t>
  </si>
  <si>
    <t>Pre-construction Stage</t>
  </si>
  <si>
    <t>Possible environmental/Social Impact</t>
  </si>
  <si>
    <t>Mitigation Measures</t>
  </si>
  <si>
    <t>General Instructions to Bidders:</t>
  </si>
  <si>
    <t>Bidders shall submit their offers based strictly on the provided Bill of Quantities (BOQ) without any modifications to item descriptions, quantities, or units of measurement. Any deviations, omissions, or unauthorized changes may result in disqualification.</t>
  </si>
  <si>
    <t>Bidders are required to fill in unit rates and amounts only in the designated pricing columns. No changes to pre-defined BOQ items are allowed.</t>
  </si>
  <si>
    <t>Should there be any discrepancies or need for clarification, bidders must submit written requests for official guidance prior to bid submission.</t>
  </si>
  <si>
    <t>If no price has been stated against any item  hereunder, the Contractor shall not be entitled to claim any money for such items even though he is obliged to execute the work or provide services described therein. Preliminary items priced by the Tenderer are deemed to include the cost of unpriced items.</t>
  </si>
  <si>
    <t>The Tenderer shall read, understand  and acquaint himself with the requirements in the Conditions of Contract, Instructions to Tenderers, Bidding Data, Bid Form, Appendix to Tender and Preamble notes. It is the Tenderer's responsibility to see that his price includes for complying with all the above requirements whether specifically referred to in this bills of quantities or otherwise.</t>
  </si>
  <si>
    <t>The Tenderer is required to visit the site of the proposed work, as it is his responsibility to ascertain the conditions governing access to the site, the existing conditionas of the facility and any other information he may find necessary before he can tender for the work.</t>
  </si>
  <si>
    <t>Cost and expenses in connection with any other preliminary item which is not listed below, but is necessary for the due completion of works, is deemed to be included in the tender rates.</t>
  </si>
  <si>
    <t>The contractor is accountable for safeguarding against any loss or damage to the works, existing structures, adjoining structures, and unfixed materials. They must also protect facility belongings, maintain the proper functioning of systems, and ensure the safety of facility users throughout the construction phase.</t>
  </si>
  <si>
    <t>Loss of vegetation and associate loss of biodiversity</t>
  </si>
  <si>
    <t>1. Siting of the sub projects in areas of minimal disturbance by ensuring proper demarcation of the project site and the vegetation clearance is limited to the demarcation areas only to prevent unnecessary clearing vegetation.</t>
  </si>
  <si>
    <t>2. Avoiding areas with a lot of vegetation and existing trees. Avoid cutting down trees as much as possible by realigning the structure around mature treesas much as possible. If cutting of trees is unavoidable, offset by replanting new trees of the same species.</t>
  </si>
  <si>
    <t>Air pollution through dust generartion</t>
  </si>
  <si>
    <t>1. Dampening of the ground by sprinkling of water regularly to keep the site dust free.</t>
  </si>
  <si>
    <t>2. Workers should adhere to putting on protective clothing and equipment such as dust mask and reflective vests.</t>
  </si>
  <si>
    <t>Soils/wind erosion</t>
  </si>
  <si>
    <t>1. Compacting of loose soil in excavation areas.</t>
  </si>
  <si>
    <t xml:space="preserve">2.Re-use the dug up soil in backfilling and landscaping.                                                      </t>
  </si>
  <si>
    <t xml:space="preserve">3. Enclose the construction site and protect the spoil to prevent these waste soils and other debris from being washed away by surface runoff, wind and naturally by spilling over to the rest of the of the school compound </t>
  </si>
  <si>
    <t>4. All dug up soil that is not needed on-site to be removed promply and disposed of to appropiriate areas as designated by the Engineeer</t>
  </si>
  <si>
    <t>Labor influx and related impacts</t>
  </si>
  <si>
    <t xml:space="preserve">1. The contractor should develop an internal labor management plan before hiring of workers. </t>
  </si>
  <si>
    <t>2. The contractor should hire mainly local labour if their skill is to the level required for such works. Contributor shall avoid bringing labour from outside except where such is necessary. This can be done in constitution with the school board management.</t>
  </si>
  <si>
    <t xml:space="preserve">3. The contractor should ensure the hiring process is done with fairness and gender sensitive. </t>
  </si>
  <si>
    <t xml:space="preserve">4. Contractor shall develop a grievance redress mechanism for both local community and workers </t>
  </si>
  <si>
    <t>Solid waste generation</t>
  </si>
  <si>
    <t>1. Regularly remove and transport excavated soil and other wastes to the designated dumpsite.</t>
  </si>
  <si>
    <t>2. Provide waste bins for solid waste disposal at strategic points for ease of disposing waste as the work progresses.</t>
  </si>
  <si>
    <t>3. construction workers should be senitized on the importance of disposing waste to the designated points.</t>
  </si>
  <si>
    <t>Noise Pollution</t>
  </si>
  <si>
    <t xml:space="preserve">1. If generator is to be installed in the site for construction purpose it shall have canopy - sound insulation to minimise disturbances, </t>
  </si>
  <si>
    <t>2. Ensure construction machineries .eg concrete mixers and vibrators and others are well maintained in a way that reduces excessive noise</t>
  </si>
  <si>
    <t>3. Undertaking loud noise activities during off-pick hours (break time, luch break, games time)</t>
  </si>
  <si>
    <t>4. Ensuring that workers wear ear muffs and other personal protective equipments (PPEs) if working in noisy section</t>
  </si>
  <si>
    <t>Increased strain on available resources</t>
  </si>
  <si>
    <t>1. The contractor should source their own water to be use during construction. By no means should the schools' resources used during construction unless prior arragemnets are made  with necessary compensations accorded</t>
  </si>
  <si>
    <t xml:space="preserve">2. Locally available materials such as soil and stones shall be sourced from approved quary sites and shall always be done in a way that it doesn’t create enviromental problems. </t>
  </si>
  <si>
    <t xml:space="preserve">3. Contractor shall in now way cut local trees to use as construction materials. This shall only be done with approval from relevant authorities. </t>
  </si>
  <si>
    <t xml:space="preserve">Child safeguarding </t>
  </si>
  <si>
    <t>1. The contractor should ensure children are protetcted from any negative impact from the construction works.</t>
  </si>
  <si>
    <t>2. The contractor should strictly hire people who are above 18 years and shall ensure to verify the age of site workers such as use of identity cards.</t>
  </si>
  <si>
    <t>3. The contractor  should prevent children from coming to the site by use of fencing. Contractor shall also ensure protection and covering of pits and deep excavations to avoid school children falling</t>
  </si>
  <si>
    <t xml:space="preserve">4. The contracor shall ensure their workers are sensitized and are fully aware of their child safeguarding obligations. </t>
  </si>
  <si>
    <t>5. The contractor should organize with the school management to ensure they alert the children not to play or go near the construction site or any machinery - vehicle transporting construction materials.</t>
  </si>
  <si>
    <t>6. Provide safety warning signs informing the children and staff of ongoing construction works.</t>
  </si>
  <si>
    <t>Increase transmission of communicable diseases - waterborne and airborne illnesses</t>
  </si>
  <si>
    <t xml:space="preserve">1. Contractor shall ensure their workers are fully sensitized about communicable diseases and ways to prevent. </t>
  </si>
  <si>
    <t xml:space="preserve">2. The contractor should ensure there is provision of safe drinking water and appropriate sanitation facilities to workers. </t>
  </si>
  <si>
    <t>Sexual exploitation and absue</t>
  </si>
  <si>
    <t>1. The contractor should develop a code of conduct which should encompass clear warning to workers on any kind of sexual exploitation and absue</t>
  </si>
  <si>
    <t>2. The contractor should provide a mechanism where workers are free to report any sexual or related harrassment to the senior management without fear of intimidation</t>
  </si>
  <si>
    <t>3. The contractor should communicate to the workers and there should be no or minimal interction with the school children.</t>
  </si>
  <si>
    <t>Occupational Saftey and Health</t>
  </si>
  <si>
    <t>1. The contractor shall hire a competent occupational health and safety officer for the construction site</t>
  </si>
  <si>
    <t>2. The contractor should provide all the construction workers with personal protective equipment.</t>
  </si>
  <si>
    <t>3. The site supervisor should ensure all the the construction workers wear the provided PPEs duringworking hours</t>
  </si>
  <si>
    <t>4. The contractor shall erect rules requiring all workers and visitors have the appropriate PPEs to prevent any injuries</t>
  </si>
  <si>
    <t>5. The contractor should purchase and provide a first aid kit at every construction site. Establish a first aid unit.</t>
  </si>
  <si>
    <t xml:space="preserve">6. The contractor should ensure any injuries, incidents or accidents are recorded and record kept for monitoring health and safety. </t>
  </si>
  <si>
    <t>Drug and substance abuse</t>
  </si>
  <si>
    <t>1. During worker's orientation, they should be clearl informed of no drug or substance abuse within the construction site and during working hours</t>
  </si>
  <si>
    <t>2. The contractor shall communicate its 'No Smoking' plicy through large visible posters to the workers.</t>
  </si>
  <si>
    <t>3. The site supervisor should not allow any worker entry to the construction site who is under the influence of drug or substance.</t>
  </si>
  <si>
    <t>4. Provide posters prohibiting workers from smoking or engaing in drug use within the school</t>
  </si>
  <si>
    <t>Social Evils/Crimes</t>
  </si>
  <si>
    <t>1. The contrator has a responsibility to provide security at the construction site and not rely on the school;s security.</t>
  </si>
  <si>
    <t>2. The contractor should consider hiring workers in collaboration with the school management who may have more knowledge on the local people, and that will minimize bad characters in its workforce.</t>
  </si>
  <si>
    <t>Work:</t>
  </si>
  <si>
    <t>Project:</t>
  </si>
  <si>
    <t>GPE/STG</t>
  </si>
  <si>
    <t>Location:</t>
  </si>
  <si>
    <t>No</t>
  </si>
  <si>
    <t>Description of Item</t>
  </si>
  <si>
    <t>Amount USD</t>
  </si>
  <si>
    <t>GRAND TOTAL WORKS - USD</t>
  </si>
  <si>
    <t>Name:</t>
  </si>
  <si>
    <t>Signature</t>
  </si>
  <si>
    <t>Company</t>
  </si>
  <si>
    <t xml:space="preserve">Date: </t>
  </si>
  <si>
    <t>PROGRAM:</t>
  </si>
  <si>
    <r>
      <t xml:space="preserve">GLOBAL PARTNERSHIP FOR EDUCATION
</t>
    </r>
    <r>
      <rPr>
        <sz val="11"/>
        <color theme="1"/>
        <rFont val="Arial"/>
        <family val="2"/>
      </rPr>
      <t xml:space="preserve">FEDERAL SYSTEM TRANSFORMATION GRANT 
</t>
    </r>
    <r>
      <rPr>
        <b/>
        <sz val="11"/>
        <color theme="1"/>
        <rFont val="Arial"/>
        <family val="2"/>
      </rPr>
      <t>(GPE STG)</t>
    </r>
  </si>
  <si>
    <t>Proposed construction/rehabilitation of</t>
  </si>
  <si>
    <t xml:space="preserve">Compounent: </t>
  </si>
  <si>
    <t>Galmudug State</t>
  </si>
  <si>
    <t>Elements</t>
  </si>
  <si>
    <t>Specifications</t>
  </si>
  <si>
    <t>Planned Work</t>
  </si>
  <si>
    <t>Description</t>
  </si>
  <si>
    <t>Unit</t>
  </si>
  <si>
    <t>Qty</t>
  </si>
  <si>
    <t>Rate $</t>
  </si>
  <si>
    <t>Amount $</t>
  </si>
  <si>
    <t>A</t>
  </si>
  <si>
    <t>Top soil stripping and removal of small trees and debris away from the site</t>
  </si>
  <si>
    <r>
      <t>m</t>
    </r>
    <r>
      <rPr>
        <vertAlign val="superscript"/>
        <sz val="11"/>
        <color theme="1"/>
        <rFont val="Arial Narrow"/>
        <family val="2"/>
      </rPr>
      <t>2</t>
    </r>
  </si>
  <si>
    <t>Excavation of column footings of (80x80cm x 120cm deep) in all kinds of soils starting at natural ground level. Complete as per drawings and specifications.</t>
  </si>
  <si>
    <r>
      <t>m</t>
    </r>
    <r>
      <rPr>
        <vertAlign val="superscript"/>
        <sz val="11"/>
        <color theme="1"/>
        <rFont val="Arial Narrow"/>
        <family val="2"/>
      </rPr>
      <t>3</t>
    </r>
    <r>
      <rPr>
        <sz val="11"/>
        <color theme="1"/>
        <rFont val="Calibri"/>
        <family val="2"/>
        <scheme val="minor"/>
      </rPr>
      <t/>
    </r>
  </si>
  <si>
    <t>Excavation for linear foundation of (50cm wide and 60cm minimum depth)  in all kinds of soils starting at natural ground level. Price includes removal of surplus materials from site to an approved dumping area.</t>
  </si>
  <si>
    <t xml:space="preserve">5cm plain concrete blinding to the bottom of strip foundation and column footings </t>
  </si>
  <si>
    <t xml:space="preserve">Supply and construct solid stone foundation wall of 40cm thick, 50cm below ground level and 40cm above ground level. Bedded and jointed with 1:4 mix ratio of mortor </t>
  </si>
  <si>
    <t xml:space="preserve">Foundation backfilling with hardcore in 20cm hand packed layers. </t>
  </si>
  <si>
    <t>5cm compacted murram blinding</t>
  </si>
  <si>
    <t xml:space="preserve">1000G DPM Polythene sheet laid over compacted murram surface to receive concrete. </t>
  </si>
  <si>
    <t xml:space="preserve">Supply and construction of 20 cm thick Hallow Concrete Block walls (using 20cm*40cm*20cm hallow blcok walls), Bedded and jointed with 1:4 mix ratio of mortor. </t>
  </si>
  <si>
    <t>Supply and install new 28 Gauge first-class CGI/iron sheet (Bacweyne) on 80x40mm timber purlins, attached to 150x50mm timber trusses and rafters. 50x50 cm Ensure that the sheets are superposed with a 200mm overlap. Provide 150x50mm timber planks as tie beams for all trusses. 200X20 Facsia board. To SCI engineer approval</t>
  </si>
  <si>
    <t xml:space="preserve">Supply materials and install 5mm ceiling boards nailed on 4x4cm timber brandering at 60cm spacing and including cornice. </t>
  </si>
  <si>
    <t>Allow provisional sum for electricity installations including ducting, wiring and lights, sockets, ceiling fans and distribution board to SCI engineer's approval.</t>
  </si>
  <si>
    <t>lsm</t>
  </si>
  <si>
    <t>Apply 15 to 20mm thick plastering on iternal and  external faces  of Walls respectivley, with mix ratio of 1:3 guaged in three coats including surface smoothing</t>
  </si>
  <si>
    <t xml:space="preserve">Apply one coat of white wash and 2 finishing coats of emulsion paint on internal wall surfaces. </t>
  </si>
  <si>
    <t xml:space="preserve">Apply white wash and 2 finishing coats of exterior paint on plastered external walls </t>
  </si>
  <si>
    <t xml:space="preserve">Steel doors made of 1.5mm MS plate on 40x30x3mm steel box frame and 40x40x3mm angle lines as outer frame fixed with 6 dove tailed wall bars of similar size and industrial hinges. All painted with antirust primer and gloss paint. Door overall size 1.2x2.1m.  </t>
  </si>
  <si>
    <t xml:space="preserve">Supply and install steel windows made of 1.5mm MS plate on 25x25x3mm steel box frames and outer frame of 25x25x3mm steel angle lines fixed with 6 dove taled angle line walls bars of same size and heavy duty hinges. Including security gril made of 20x20x2mm steel boxes at 15cm spacing and heavy duty diomond mesh plate. Window overall size 1.2x1.2m all painted with anti-corrosion paint. </t>
  </si>
  <si>
    <t xml:space="preserve">Construct a ramp with width of 1.2 meters and ascend to an upper elevation. Ensuring that the slope does not exceed the maximum of 8%.Construct using rubber stone with a 1:3 mortar ratio. Lay steel wire mesh and apply a 8cm concrete screed to the upper section of the ramp. This includes fixing CHS hand railing of approved size on both sides of the ramp. Apply steel primer. To SCI Engineer approval </t>
  </si>
  <si>
    <t>Supply and installation of 1.2x2.4m blackboard to SCI engineers approval</t>
  </si>
  <si>
    <t>no</t>
  </si>
  <si>
    <t>B</t>
  </si>
  <si>
    <t>C</t>
  </si>
  <si>
    <t>NEW GROUND WATER TANK (1)</t>
  </si>
  <si>
    <t>TANK BASE</t>
  </si>
  <si>
    <t>Construct a rubble stone flat platform base for a water tank measuring 1.8m in width and 2.5m in length. The platform will be raised 1m above ground level and extend 0.3m below ground level. All stone joints will be filled with a 1:4 mortar mix for added stability.</t>
  </si>
  <si>
    <r>
      <t>m</t>
    </r>
    <r>
      <rPr>
        <vertAlign val="superscript"/>
        <sz val="11"/>
        <color theme="1"/>
        <rFont val="Arial Narrow"/>
        <family val="2"/>
      </rPr>
      <t>3</t>
    </r>
  </si>
  <si>
    <t>Plaster the surfaces of the platform using cement and sand mortar ratio of 1:3 for a smooth finish.</t>
  </si>
  <si>
    <t>Apply one undercoat and two finishing coats of emulsion paint on the plastered surface.</t>
  </si>
  <si>
    <t>WATER TANK &amp; PLUMBING</t>
  </si>
  <si>
    <t>Supply, deliver, and install horizontal plastic-molded water tank with a capacity of 3000 liters. The tank will come complete with covers and screwed connections for inlet, outlet, overflow, and other necessary items for proper functioning, including fittings and valves. Mount the tanks on the raised flat platform.</t>
  </si>
  <si>
    <t>Supply and install all necessary pipes including water tap and fittings from the water point to the tank. Ensure a proper and functional water flow system is established to connect the water source to the tank for efficient water storage and distribution.</t>
  </si>
  <si>
    <t>LS</t>
  </si>
  <si>
    <t>Excavate water collection pit near the water tank for collecting disposed water from the water point area. Fill it with rubbor stones in the pit. Lay crushed stone and plain concrete on the waterway leading to the pit. Ensure a proper and functional water disposal system.</t>
  </si>
  <si>
    <t>RAINWATER GUTTER</t>
  </si>
  <si>
    <t>Install rainwater gutters around the new classrooms roof and connect it to the downspouts to water storage tank. To SCI engineer approval</t>
  </si>
  <si>
    <t>M</t>
  </si>
  <si>
    <t xml:space="preserve">SUMMARY </t>
  </si>
  <si>
    <t xml:space="preserve">ELEMENTS </t>
  </si>
  <si>
    <t>Amnt USD</t>
  </si>
  <si>
    <t>SUBSTRUCTURE WORKS</t>
  </si>
  <si>
    <t xml:space="preserve">Earthworks and Excavations </t>
  </si>
  <si>
    <t xml:space="preserve">Clear site of all bushes, grab up roots before work commences and burn all arisings. Mobilize and transport all necessary materials on site. </t>
  </si>
  <si>
    <r>
      <t>m</t>
    </r>
    <r>
      <rPr>
        <vertAlign val="superscript"/>
        <sz val="11"/>
        <color theme="1"/>
        <rFont val="Arial Narrow"/>
        <family val="2"/>
      </rPr>
      <t>2</t>
    </r>
    <r>
      <rPr>
        <sz val="11"/>
        <color theme="1"/>
        <rFont val="Calibri"/>
        <family val="2"/>
        <scheme val="minor"/>
      </rPr>
      <t/>
    </r>
  </si>
  <si>
    <t>Excavate latrine pit of dimensions 2m wide by 3m long to depth of 5m from existing ground level.</t>
  </si>
  <si>
    <t>construction of 40cm thick of stone wall for four sides of pit latrine with dimension of 10m long and 5m deep.</t>
  </si>
  <si>
    <t xml:space="preserve">Excavate foundoutation trench with dimension of  (0.40m width x 0.3m deep x length). Remove away from the site all surplus and un necessary materials. </t>
  </si>
  <si>
    <t>Lay 50 mm blinding layer-1:2:4 concrete (40 mm aggregate size) under the rubble stone  foundation base as  directed by SCI Engineer.</t>
  </si>
  <si>
    <t xml:space="preserve">Construction of Rubble stone foundation, all joints between stone should filled with cement and sand with mortor ration of 1:4. (0.6m high x 0.4m wide) 0.3m should be above the ground level, depends on the nature of the land. </t>
  </si>
  <si>
    <t>Concrete works</t>
  </si>
  <si>
    <t>15cm R.C (1:2:4 mix) in No.1. Ground beam with re-bars 4N0. Y12 &amp; R6 links @ 250 mm c/c. (0.40m x 0.15m). Concrete should be vibrated using by hand vibrated machine to remove air pockets/spaces. Curing should be 4 days ( twice each day).</t>
  </si>
  <si>
    <t>15cm R.C (1:2:4 mix) in No.1. Pit slab with re-bars 4N0. Y12 &amp; R6 links @ 250 mm c/c. (0.40m x 0.15m). Concrete should be vibrated using by hand vibrated machine to remove air pockets/spaces. Curing should be 4 days ( twice each day). This includes two two ventilited pipe from the pit latrine.</t>
  </si>
  <si>
    <t>Hardcore filling</t>
  </si>
  <si>
    <t>200mm Return, fill and well ram selected excavated materials. Remove surplus excavated materials from site.</t>
  </si>
  <si>
    <t>200mm thick hardcore bed well compacted and levelled under floors and veranda.</t>
  </si>
  <si>
    <t>Floor Construction</t>
  </si>
  <si>
    <t>Cement and sand (mix 1:4) in 3cm thick screed bed trowelled hard and smooth to receive  floor tiles (measured separately).</t>
  </si>
  <si>
    <t>200x200x8mm thick non-slip ceramic floor tiles to latrine floor on cement and sand backing.</t>
  </si>
  <si>
    <t>200x200x8mm thick Ceramic wall tiles for internal latrine walls and hand washing areas, joints should be filled with 1:4 cement and sand and height should be 2m.</t>
  </si>
  <si>
    <t xml:space="preserve">Walling </t>
  </si>
  <si>
    <t>Construction of 150mm hallow block walling, bedded and jointed in cement and sand with ration of  (mix 1:4) mortar. The hieght up to 2.9m from the foundation level.</t>
  </si>
  <si>
    <t>Super structure concrete works.</t>
  </si>
  <si>
    <t>Construction of 15cm thick RCC lintel beams above the doors and windows for all walls both internal and external walls. The dimension should be ( 15cmx15cm) with ration of (1:2:4) with 4Y12 dia @20cm c/c. the staffs should be 6mm dia. Curing should be 3 days ( twice each day).</t>
  </si>
  <si>
    <t xml:space="preserve">Ramps and Stair Steps </t>
  </si>
  <si>
    <t>Construct of Gentle slope ramps. Dimension to be approved on site  Apply an 8cm concrete screed to the upper section of the ramp.</t>
  </si>
  <si>
    <t>Install stainless steel (Grade 304) handrails along the sides 
of the ramp. The height of the handrails to be approved on site.</t>
  </si>
  <si>
    <t>Construct stair steps adjacent to the entry of latrines. Stair tread should be 30cm and stair riser should be 15cm.</t>
  </si>
  <si>
    <t>ROOF WORKS</t>
  </si>
  <si>
    <t>Roofing with #28 guage pre-painted corrugated sheets and timber roof trussess c/c 2m. All roof trusses anchoredwith 6mm dia bars cated in the roof lintel and all joints of roof trusses and purloins to be tied together with a flat metal strip. Dimension: tie beam 2"x6", rafter 2"x4", purloins 2"x3", king post 2"x6" and all timber should be single pieces with no joints created by smaller peices fastered together.</t>
  </si>
  <si>
    <t xml:space="preserve">20 cm Fascia board around the four sides of the building. </t>
  </si>
  <si>
    <t>m</t>
  </si>
  <si>
    <t>WALL FINISHES</t>
  </si>
  <si>
    <t>External &amp; internal plastering ,12 mm thick, cement / sand mix 1:3, with wood float finish.</t>
  </si>
  <si>
    <t>Apply two coats white wash and distemper paint the plastered wall surface.</t>
  </si>
  <si>
    <t>Apply two coats of distempering on all wall  faces both exterior and interior of wall surfaces. Type of painting to be approved by SCI Engineer.</t>
  </si>
  <si>
    <t>DOORS AND VENTILATIONS</t>
  </si>
  <si>
    <t>Metal doors</t>
  </si>
  <si>
    <t>Supply and fix double leafed metal doors (90x220)cm, complete with frame, hinges &amp; locks. The disabled latrine should be 1.2m wide.</t>
  </si>
  <si>
    <t>NO</t>
  </si>
  <si>
    <t>Vent Blocks</t>
  </si>
  <si>
    <t>Supply and fix pre-fabricated ventilation Blocks (400mm x 400mm) complete with wooden frame and fly-trap screen.</t>
  </si>
  <si>
    <t>PLUMPING WORKS</t>
  </si>
  <si>
    <t>Fittings</t>
  </si>
  <si>
    <t>20mm dia stailess steel Grab rail in Disbled WC</t>
  </si>
  <si>
    <t xml:space="preserve">Close coupled WC Twyfords makeor equal approved with necessary drainage piping and manholes to latrine pit. </t>
  </si>
  <si>
    <t xml:space="preserve">East type WC Pan Twyfords or equal approved and completed with necessary drainage piping work and manholes to the latrine pit. </t>
  </si>
  <si>
    <t>Hand wahing sink complete with necessary piping and joints. This should be child friendly use.</t>
  </si>
  <si>
    <t>Wall mounted Pegler tap or equal approved complete with necessary piping and joints</t>
  </si>
  <si>
    <t xml:space="preserve">Allow for water connection and piping from the school storage tank, </t>
  </si>
  <si>
    <t>Lsm</t>
  </si>
  <si>
    <t xml:space="preserve">ELECTRICAL WORKS </t>
  </si>
  <si>
    <t xml:space="preserve">Allow for supply and installation of one lighting point and switch for each toilet. </t>
  </si>
  <si>
    <r>
      <rPr>
        <b/>
        <sz val="11"/>
        <color theme="1"/>
        <rFont val="Calibri"/>
        <family val="2"/>
        <scheme val="minor"/>
      </rPr>
      <t>Ground Beam:</t>
    </r>
    <r>
      <rPr>
        <sz val="11"/>
        <color theme="1"/>
        <rFont val="Calibri"/>
        <family val="2"/>
        <scheme val="minor"/>
      </rPr>
      <t xml:space="preserve"> 20x40cm RCC with mix ratio of 1:2:4 and  Reinforced with 4nos of high yield deformed  14mm steel bars and 8mm stirrups @ 20cm c/c. Prices to include framework and all required steps to perform the work properly.</t>
    </r>
  </si>
  <si>
    <r>
      <rPr>
        <b/>
        <sz val="11"/>
        <color theme="1"/>
        <rFont val="Calibri"/>
        <family val="2"/>
        <scheme val="minor"/>
      </rPr>
      <t>Ground Floor Slab:</t>
    </r>
    <r>
      <rPr>
        <sz val="11"/>
        <color theme="1"/>
        <rFont val="Calibri"/>
        <family val="2"/>
        <scheme val="minor"/>
      </rPr>
      <t xml:space="preserve"> 8cm thick RCC with mix ratio of 1:2:4, reinforced with Y12 @ 15cm c/c on both directions. This includes 20cm high Teacher Platform. Concrete surface to be strictly finished with concrete helicopter to SCI engineers approval. No further finishing shall be done on top of the concrete. This. Prices to include framework and all required steps to perform the work properly.</t>
    </r>
  </si>
  <si>
    <r>
      <rPr>
        <b/>
        <sz val="11"/>
        <color theme="1"/>
        <rFont val="Calibri"/>
        <family val="2"/>
        <scheme val="minor"/>
      </rPr>
      <t>Sill Beam:</t>
    </r>
    <r>
      <rPr>
        <sz val="11"/>
        <color theme="1"/>
        <rFont val="Calibri"/>
        <family val="2"/>
        <scheme val="minor"/>
      </rPr>
      <t xml:space="preserve"> 20x15cm RCC beam below windows mix ratio of 1:2:4 and  Reinforced with 4Y8 and 6mm links @ 20cm c/c. Prices to include framework and all required steps to perform the work properly.</t>
    </r>
  </si>
  <si>
    <r>
      <rPr>
        <b/>
        <sz val="11"/>
        <color theme="1"/>
        <rFont val="Calibri"/>
        <family val="2"/>
        <scheme val="minor"/>
      </rPr>
      <t>Lintel Beam:</t>
    </r>
    <r>
      <rPr>
        <sz val="11"/>
        <color theme="1"/>
        <rFont val="Calibri"/>
        <family val="2"/>
        <scheme val="minor"/>
      </rPr>
      <t xml:space="preserve"> 20x20cm RCC  with mix ratio of 1:2:4 and  Reinforced with 4Y12 and Y8 links @ 20cm c/c. Prices to include framework and all required steps to perform the work properly.</t>
    </r>
  </si>
  <si>
    <r>
      <rPr>
        <b/>
        <sz val="11"/>
        <color theme="1"/>
        <rFont val="Calibri"/>
        <family val="2"/>
        <scheme val="minor"/>
      </rPr>
      <t xml:space="preserve">Roof Beam: </t>
    </r>
    <r>
      <rPr>
        <sz val="11"/>
        <color theme="1"/>
        <rFont val="Calibri"/>
        <family val="2"/>
        <scheme val="minor"/>
      </rPr>
      <t>20x30cm RCC mix ratio of 1:2:4 and  Reinforced with 4Y14 and Y8 links @ 20cm c/c. Prices to include framework and all required steps to perform the work properly.</t>
    </r>
  </si>
  <si>
    <r>
      <rPr>
        <b/>
        <sz val="11"/>
        <color theme="1"/>
        <rFont val="Calibri"/>
        <family val="2"/>
        <scheme val="minor"/>
      </rPr>
      <t>Column:</t>
    </r>
    <r>
      <rPr>
        <sz val="11"/>
        <color theme="1"/>
        <rFont val="Calibri"/>
        <family val="2"/>
        <scheme val="minor"/>
      </rPr>
      <t xml:space="preserve"> 20cmx20cm 3.8m height RCC  with mix ratio of 1:2:4 and  Reinforced with 4Y12 and Y8 links @ 20cm c/c. Prices to include framework and all required steps to perform the work properly as per specifications and drawing</t>
    </r>
  </si>
  <si>
    <t>D</t>
  </si>
  <si>
    <t>Bidhan 3C</t>
  </si>
  <si>
    <t>Kaise 15C</t>
  </si>
  <si>
    <t>Proposed construction/rehabilitation of Dhusamareeb Primary School in Dhusamareb
(L1.1)</t>
  </si>
  <si>
    <t>Quantity</t>
  </si>
  <si>
    <t xml:space="preserve">Rate USD </t>
  </si>
  <si>
    <t xml:space="preserve">Carefully demolish existing classrooms, dispose off debris away and clean the site in preparation for new constructions. </t>
  </si>
  <si>
    <t>NEW CLASSROOMS (3)</t>
  </si>
  <si>
    <t>Subtotal for 3 new Classrooms</t>
  </si>
  <si>
    <t>NEW CLASSROOMS (2)</t>
  </si>
  <si>
    <t>Subtotal for 2 new Classrooms</t>
  </si>
  <si>
    <t>NEW CLASSROOMS (4)</t>
  </si>
  <si>
    <t>m2</t>
  </si>
  <si>
    <t>M3</t>
  </si>
  <si>
    <t>m3</t>
  </si>
  <si>
    <r>
      <rPr>
        <b/>
        <sz val="11"/>
        <rFont val="Calibri"/>
        <family val="2"/>
        <scheme val="minor"/>
      </rPr>
      <t>Ground Beam:</t>
    </r>
    <r>
      <rPr>
        <sz val="11"/>
        <rFont val="Calibri"/>
        <family val="2"/>
        <scheme val="minor"/>
      </rPr>
      <t xml:space="preserve"> 20x40cm RCC with mix ratio of 1:2:4 and  Reinforced with 4nos of high yield deformed  14mm steel bars and 8mm stirrups @ 20cm c/c. Prices to include framework and all required steps to perform the work properly.</t>
    </r>
  </si>
  <si>
    <r>
      <rPr>
        <b/>
        <sz val="11"/>
        <rFont val="Calibri"/>
        <family val="2"/>
        <scheme val="minor"/>
      </rPr>
      <t>Footing:</t>
    </r>
    <r>
      <rPr>
        <sz val="11"/>
        <rFont val="Calibri"/>
        <family val="2"/>
        <scheme val="minor"/>
      </rPr>
      <t xml:space="preserve"> 70x70x30cm RCC with mix ratio of 1:2:4, reinforced with Y14mm mesh @15cm c/c on both directions. Prices to include framework and all required steps to perform the work properly.</t>
    </r>
  </si>
  <si>
    <r>
      <rPr>
        <b/>
        <sz val="11"/>
        <rFont val="Calibri"/>
        <family val="2"/>
        <scheme val="minor"/>
      </rPr>
      <t xml:space="preserve">Column Neck: </t>
    </r>
    <r>
      <rPr>
        <sz val="11"/>
        <rFont val="Calibri"/>
        <family val="2"/>
        <scheme val="minor"/>
      </rPr>
      <t>20x20cm RCC  with mix ratio of 1:2:4, Reinforced with 4Y14 and 8mm stirrups @ 20cm c/c. Prices to include framework and all required steps to perform the work properly..</t>
    </r>
  </si>
  <si>
    <r>
      <rPr>
        <b/>
        <sz val="11"/>
        <rFont val="Calibri"/>
        <family val="2"/>
        <scheme val="minor"/>
      </rPr>
      <t xml:space="preserve">Ground Floor Slab: </t>
    </r>
    <r>
      <rPr>
        <sz val="11"/>
        <rFont val="Calibri"/>
        <family val="2"/>
        <scheme val="minor"/>
      </rPr>
      <t>8cm thick RCC with mix ratio of 1:2:4, reinforced with Y12 @ 15cm c/c on both directions. This includes 20cm high Teacher Platform. Concrete surface to be strictly finished with concrete helicopter to SCI engineers approval. No further finishing shall be done on top of the concrete. This. Prices to include framework and all required steps to perform the work properly.</t>
    </r>
  </si>
  <si>
    <r>
      <rPr>
        <b/>
        <sz val="11"/>
        <rFont val="Calibri"/>
        <family val="2"/>
        <scheme val="minor"/>
      </rPr>
      <t xml:space="preserve">Sill Beam: </t>
    </r>
    <r>
      <rPr>
        <sz val="11"/>
        <rFont val="Calibri"/>
        <family val="2"/>
        <scheme val="minor"/>
      </rPr>
      <t>20x15cm RCC beam below windows mix ratio of 1:2:4 and  Reinforced with 4Y8 and 6mm links @ 20cm c/c. Prices to include framework and all required steps to perform the work properly.</t>
    </r>
  </si>
  <si>
    <r>
      <rPr>
        <b/>
        <sz val="11"/>
        <rFont val="Calibri"/>
        <family val="2"/>
        <scheme val="minor"/>
      </rPr>
      <t>Lintel Beam:</t>
    </r>
    <r>
      <rPr>
        <sz val="11"/>
        <rFont val="Calibri"/>
        <family val="2"/>
        <scheme val="minor"/>
      </rPr>
      <t xml:space="preserve"> 20x20cm RCC  with mix ratio of 1:2:4 and  Reinforced with 4Y12 and Y8 links @ 20cm c/c. Prices to include framework and all required steps to perform the work properly.</t>
    </r>
  </si>
  <si>
    <r>
      <rPr>
        <b/>
        <sz val="11"/>
        <rFont val="Calibri"/>
        <family val="2"/>
        <scheme val="minor"/>
      </rPr>
      <t xml:space="preserve">Roof Beam: </t>
    </r>
    <r>
      <rPr>
        <sz val="11"/>
        <rFont val="Calibri"/>
        <family val="2"/>
        <scheme val="minor"/>
      </rPr>
      <t>20x30cm RCC mix ratio of 1:2:4 and  Reinforced with 4Y14 and Y8 links @ 20cm c/c. Prices to include framework and all required steps to perform the work properly.</t>
    </r>
  </si>
  <si>
    <r>
      <rPr>
        <b/>
        <sz val="11"/>
        <rFont val="Calibri"/>
        <family val="2"/>
        <scheme val="minor"/>
      </rPr>
      <t xml:space="preserve">Column: </t>
    </r>
    <r>
      <rPr>
        <sz val="11"/>
        <rFont val="Calibri"/>
        <family val="2"/>
        <scheme val="minor"/>
      </rPr>
      <t>20cmx20cm 3.8m height RCC  with mix ratio of 1:2:4 and  Reinforced with 4Y12 and Y8 links @ 20cm c/c. Prices to include framework and all required steps to perform the work properly as per specifications and drawing</t>
    </r>
  </si>
  <si>
    <t>Subtotal for 4 new Classrooms</t>
  </si>
  <si>
    <t xml:space="preserve">Work: </t>
  </si>
  <si>
    <t>Bidhaan</t>
  </si>
  <si>
    <t xml:space="preserve">NEW TOILETS (2 blocks each of 3 units) </t>
  </si>
  <si>
    <t>Item</t>
  </si>
  <si>
    <t>CONSTRUCTION OF (2) NEW TOILETS</t>
  </si>
  <si>
    <t>M2</t>
  </si>
  <si>
    <t>construction of 15cm thick of stone wall for four sides of pit latrine with dimension of 10m long and 5m deep.</t>
  </si>
  <si>
    <t xml:space="preserve">Construction of Rubble stone foundation, all joints between stone should filled with cement and sand with mortor ration of 1:4. (0.6m high x 0.4m wide x 36.1m length) 30cm above ground level, depends on the nature of the land. </t>
  </si>
  <si>
    <t>200mm Return, fill and well ram selected excavated materials around foundations. Remove surplus excavated materials from site.</t>
  </si>
  <si>
    <t>300x300x8mm thick non-slip ceramic floor tiles to latrine floor on cement and sand backing.</t>
  </si>
  <si>
    <t>300x300x8mm thick Ceramic wall tiles for internal latrine walls and hand washing areas, joints should be filled with 1:4 cement and sand and height should be 2m.</t>
  </si>
  <si>
    <t>Wall mounted Pegler tap or equal approved complete with necessary
piping and joints</t>
  </si>
  <si>
    <t>Subtotal for one 2 stand latrine</t>
  </si>
  <si>
    <t>Subtotal for one 3 stand latrine</t>
  </si>
  <si>
    <t>Hirshabele State</t>
  </si>
  <si>
    <t>Baladweyne</t>
  </si>
  <si>
    <r>
      <rPr>
        <b/>
        <sz val="11"/>
        <color theme="1"/>
        <rFont val="Calibri"/>
        <family val="2"/>
        <scheme val="minor"/>
      </rPr>
      <t xml:space="preserve">Footing: </t>
    </r>
    <r>
      <rPr>
        <sz val="11"/>
        <color theme="1"/>
        <rFont val="Calibri"/>
        <family val="2"/>
        <scheme val="minor"/>
      </rPr>
      <t>70x70x30cm RCC with mix ratio of 1:2:4, reinforced with Y12mm mesh @15cm c/c on both directions. Prices to include formwork and all required steps to perform the work properly.</t>
    </r>
  </si>
  <si>
    <r>
      <rPr>
        <b/>
        <sz val="11"/>
        <color theme="1"/>
        <rFont val="Calibri"/>
        <family val="2"/>
        <scheme val="minor"/>
      </rPr>
      <t>Column Neck:</t>
    </r>
    <r>
      <rPr>
        <sz val="11"/>
        <color theme="1"/>
        <rFont val="Calibri"/>
        <family val="2"/>
        <scheme val="minor"/>
      </rPr>
      <t xml:space="preserve"> 20x20cm RCC  with mix ratio of 1:2:4, Reinforced with 4Y12 and 8mm stirrups @ 20cm c/c. Prices to include formwork and all required steps to perform the work properly..</t>
    </r>
  </si>
  <si>
    <t>CONSTRUCTION OF  8 CLASSROOMS</t>
  </si>
  <si>
    <t>Baladweyne Districts</t>
  </si>
  <si>
    <t>Subtotalfor one twin latrine</t>
  </si>
  <si>
    <t>TOTAL FOR TWO TWIN LATRINE</t>
  </si>
  <si>
    <t>CONSTRUCTION FOR TWO TWIN LATERINES</t>
  </si>
  <si>
    <t>Hiran-Bile Primary School</t>
  </si>
  <si>
    <t>Ceel-Jaale Primary School</t>
  </si>
  <si>
    <t xml:space="preserve">LOT 11 : Grand Summary </t>
  </si>
  <si>
    <t>Construction and rehabilitation of classrooms and WASH facilities in Ceel-Jeele and Hiran-Bile Primary Schools in Baladweyne, Hirshabele state of Somalia.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</si>
</sst>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quot;* #,##0.00_);_(&quot;$&quot;* \(#,##0.00\);_(&quot;$&quot;* &quot;-&quot;??_);_(@_)"/>
    <numFmt numFmtId="43" formatCode="_(* #,##0.00_);_(* \(#,##0.00\);_(* &quot;-&quot;??_);_(@_)"/>
    <numFmt numFmtId="164" formatCode="_-* #,##0.00_-;\-* #,##0.00_-;_-* &quot;-&quot;??_-;_-@_-"/>
    <numFmt numFmtId="165" formatCode="0.0"/>
    <numFmt numFmtId="166" formatCode="#,##0.000"/>
    <numFmt numFmtId="167" formatCode="_(&quot;$&quot;* #,##0_);_(&quot;$&quot;* \(#,##0\);_(&quot;$&quot;* &quot;-&quot;??_);_(@_)"/>
    <numFmt numFmtId="168" formatCode="_(* #,##0.0_);_(* \(#,##0.0\);_(* &quot;-&quot;??_);_(@_)"/>
  </numFmts>
  <fonts count="50" x14ac:knownFonts="1">
    <font>
      <sz val="11"/>
      <color theme="1"/>
      <name val="Calibri"/>
      <family val="2"/>
      <scheme val="minor"/>
    </font>
    <font>
      <b/>
      <sz val="11"/>
      <color theme="1"/>
      <name val="Calibri"/>
      <family val="2"/>
      <scheme val="minor"/>
    </font>
    <font>
      <b/>
      <sz val="12"/>
      <color theme="1"/>
      <name val="Calibri"/>
      <family val="2"/>
      <scheme val="minor"/>
    </font>
    <font>
      <sz val="10"/>
      <name val="Arial"/>
      <family val="2"/>
    </font>
    <font>
      <sz val="8"/>
      <name val="Calibri"/>
      <family val="2"/>
      <scheme val="minor"/>
    </font>
    <font>
      <sz val="11"/>
      <color theme="1"/>
      <name val="Calibri"/>
      <family val="2"/>
      <scheme val="minor"/>
    </font>
    <font>
      <b/>
      <sz val="12"/>
      <color theme="1"/>
      <name val="Gill Sans MT"/>
      <family val="2"/>
    </font>
    <font>
      <b/>
      <sz val="11"/>
      <color theme="1"/>
      <name val="Gill Sans MT"/>
      <family val="2"/>
    </font>
    <font>
      <sz val="11"/>
      <name val="Calibri"/>
      <family val="2"/>
      <scheme val="minor"/>
    </font>
    <font>
      <sz val="9"/>
      <name val="Arial"/>
      <family val="2"/>
    </font>
    <font>
      <b/>
      <sz val="11"/>
      <name val="Calibri"/>
      <family val="2"/>
      <scheme val="minor"/>
    </font>
    <font>
      <sz val="11"/>
      <name val="Times New Roman"/>
      <family val="1"/>
    </font>
    <font>
      <sz val="11"/>
      <color theme="1"/>
      <name val="Times New Roman"/>
      <family val="1"/>
    </font>
    <font>
      <sz val="12"/>
      <color theme="1"/>
      <name val="Calibri"/>
      <family val="2"/>
      <scheme val="minor"/>
    </font>
    <font>
      <b/>
      <sz val="14"/>
      <color theme="1"/>
      <name val="Gill Sans MT"/>
      <family val="2"/>
    </font>
    <font>
      <b/>
      <sz val="12"/>
      <name val="Calibri"/>
      <family val="2"/>
      <scheme val="minor"/>
    </font>
    <font>
      <b/>
      <sz val="14"/>
      <name val="Calibri"/>
      <family val="2"/>
      <scheme val="minor"/>
    </font>
    <font>
      <b/>
      <sz val="14"/>
      <color theme="1"/>
      <name val="Calibri"/>
      <family val="2"/>
      <scheme val="minor"/>
    </font>
    <font>
      <u/>
      <sz val="11"/>
      <color rgb="FFFF0000"/>
      <name val="Calibri"/>
      <family val="2"/>
      <scheme val="minor"/>
    </font>
    <font>
      <b/>
      <u/>
      <sz val="10"/>
      <name val="Calibri"/>
      <family val="2"/>
      <scheme val="minor"/>
    </font>
    <font>
      <u/>
      <sz val="10"/>
      <color rgb="FFFF0000"/>
      <name val="Calibri"/>
      <family val="2"/>
      <scheme val="minor"/>
    </font>
    <font>
      <sz val="9"/>
      <name val="Calibri"/>
      <family val="2"/>
      <scheme val="minor"/>
    </font>
    <font>
      <b/>
      <sz val="11"/>
      <color rgb="FFFF0000"/>
      <name val="Arial"/>
      <family val="2"/>
    </font>
    <font>
      <b/>
      <sz val="11"/>
      <color theme="1"/>
      <name val="Arial"/>
      <family val="2"/>
    </font>
    <font>
      <sz val="11"/>
      <color theme="1"/>
      <name val="Arial"/>
      <family val="2"/>
    </font>
    <font>
      <b/>
      <sz val="11"/>
      <color theme="1"/>
      <name val="Arial Narrow"/>
      <family val="2"/>
    </font>
    <font>
      <b/>
      <sz val="11"/>
      <color rgb="FFFF0000"/>
      <name val="Arial Narrow"/>
      <family val="2"/>
    </font>
    <font>
      <b/>
      <sz val="14"/>
      <color theme="1"/>
      <name val="Arial Narrow"/>
      <family val="2"/>
    </font>
    <font>
      <sz val="10"/>
      <color rgb="FF000000"/>
      <name val="Times New Roman"/>
      <family val="1"/>
    </font>
    <font>
      <b/>
      <sz val="12"/>
      <color theme="1"/>
      <name val="Times New Roman"/>
      <family val="1"/>
    </font>
    <font>
      <b/>
      <u/>
      <sz val="12"/>
      <name val="Times New Roman"/>
      <family val="1"/>
    </font>
    <font>
      <sz val="12"/>
      <color theme="1"/>
      <name val="Times New Roman"/>
      <family val="1"/>
    </font>
    <font>
      <b/>
      <sz val="11"/>
      <name val="Times New Roman"/>
      <family val="1"/>
    </font>
    <font>
      <sz val="11"/>
      <color theme="1"/>
      <name val="Arial Narrow"/>
      <family val="2"/>
    </font>
    <font>
      <vertAlign val="superscript"/>
      <sz val="11"/>
      <color theme="1"/>
      <name val="Arial Narrow"/>
      <family val="2"/>
    </font>
    <font>
      <b/>
      <sz val="12"/>
      <name val="Times New Roman"/>
      <family val="1"/>
    </font>
    <font>
      <b/>
      <sz val="12"/>
      <color theme="1"/>
      <name val="Arial Narrow"/>
      <family val="2"/>
    </font>
    <font>
      <sz val="12"/>
      <name val="Times New Roman"/>
      <family val="1"/>
    </font>
    <font>
      <b/>
      <sz val="14"/>
      <color theme="1"/>
      <name val="Times New Roman"/>
      <family val="1"/>
    </font>
    <font>
      <b/>
      <i/>
      <sz val="11"/>
      <color theme="1"/>
      <name val="Calibri"/>
      <family val="2"/>
      <scheme val="minor"/>
    </font>
    <font>
      <sz val="11"/>
      <color theme="1"/>
      <name val="Calibri"/>
      <family val="2"/>
      <scheme val="minor"/>
    </font>
    <font>
      <sz val="20"/>
      <color theme="1"/>
      <name val="Times New Roman"/>
      <family val="1"/>
    </font>
    <font>
      <sz val="11"/>
      <color rgb="FFFF0000"/>
      <name val="Times New Roman"/>
      <family val="1"/>
    </font>
    <font>
      <b/>
      <sz val="12"/>
      <color rgb="FF000000"/>
      <name val="Gill Sans MT"/>
      <family val="2"/>
    </font>
    <font>
      <b/>
      <sz val="11"/>
      <color rgb="FF000000"/>
      <name val="Gill Sans MT"/>
      <family val="2"/>
    </font>
    <font>
      <sz val="12"/>
      <color rgb="FF000000"/>
      <name val="Arial"/>
      <family val="2"/>
    </font>
    <font>
      <sz val="12"/>
      <color theme="1"/>
      <name val="Arial"/>
      <family val="2"/>
    </font>
    <font>
      <sz val="12"/>
      <color rgb="FF000000"/>
      <name val="Gill Sans MT"/>
      <family val="2"/>
    </font>
    <font>
      <b/>
      <sz val="11"/>
      <color rgb="FF000000"/>
      <name val="Calibri"/>
      <family val="2"/>
      <scheme val="minor"/>
    </font>
    <font>
      <b/>
      <sz val="11"/>
      <color theme="1"/>
      <name val="Times New Roman"/>
      <family val="1"/>
    </font>
  </fonts>
  <fills count="1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rgb="FF92D050"/>
        <bgColor indexed="64"/>
      </patternFill>
    </fill>
    <fill>
      <patternFill patternType="solid">
        <fgColor rgb="FFFFC000"/>
        <bgColor indexed="64"/>
      </patternFill>
    </fill>
    <fill>
      <patternFill patternType="solid">
        <fgColor rgb="FFF8CBAD"/>
        <bgColor rgb="FF000000"/>
      </patternFill>
    </fill>
    <fill>
      <patternFill patternType="solid">
        <fgColor rgb="FFE2EFDA"/>
        <bgColor rgb="FF000000"/>
      </patternFill>
    </fill>
    <fill>
      <patternFill patternType="solid">
        <fgColor rgb="FFD9E1F2"/>
        <bgColor rgb="FF000000"/>
      </patternFill>
    </fill>
  </fills>
  <borders count="6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n">
        <color auto="1"/>
      </left>
      <right style="thick">
        <color auto="1"/>
      </right>
      <top style="thick">
        <color auto="1"/>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style="thin">
        <color auto="1"/>
      </right>
      <top/>
      <bottom/>
      <diagonal/>
    </border>
    <border>
      <left style="thin">
        <color auto="1"/>
      </left>
      <right style="thick">
        <color auto="1"/>
      </right>
      <top/>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bottom style="thin">
        <color auto="1"/>
      </bottom>
      <diagonal/>
    </border>
    <border>
      <left/>
      <right/>
      <top style="thin">
        <color indexed="64"/>
      </top>
      <bottom/>
      <diagonal/>
    </border>
    <border>
      <left/>
      <right style="thin">
        <color auto="1"/>
      </right>
      <top style="medium">
        <color indexed="64"/>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bottom/>
      <diagonal/>
    </border>
    <border>
      <left/>
      <right style="thin">
        <color auto="1"/>
      </right>
      <top/>
      <bottom style="thin">
        <color auto="1"/>
      </bottom>
      <diagonal/>
    </border>
    <border>
      <left style="thin">
        <color indexed="64"/>
      </left>
      <right/>
      <top/>
      <bottom/>
      <diagonal/>
    </border>
    <border>
      <left/>
      <right style="thin">
        <color indexed="64"/>
      </right>
      <top/>
      <bottom/>
      <diagonal/>
    </border>
    <border>
      <left/>
      <right style="thin">
        <color auto="1"/>
      </right>
      <top style="thin">
        <color auto="1"/>
      </top>
      <bottom/>
      <diagonal/>
    </border>
    <border>
      <left style="thin">
        <color indexed="64"/>
      </left>
      <right/>
      <top/>
      <bottom style="thin">
        <color indexed="64"/>
      </bottom>
      <diagonal/>
    </border>
    <border>
      <left style="thin">
        <color rgb="FF000000"/>
      </left>
      <right style="thin">
        <color rgb="FF000000"/>
      </right>
      <top style="hair">
        <color rgb="FF000000"/>
      </top>
      <bottom style="hair">
        <color rgb="FF000000"/>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s>
  <cellStyleXfs count="7">
    <xf numFmtId="0" fontId="0"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0" fontId="28" fillId="0" borderId="0"/>
    <xf numFmtId="0" fontId="40" fillId="0" borderId="0"/>
    <xf numFmtId="0" fontId="5" fillId="0" borderId="0"/>
  </cellStyleXfs>
  <cellXfs count="349">
    <xf numFmtId="0" fontId="0" fillId="0" borderId="0" xfId="0"/>
    <xf numFmtId="0" fontId="0" fillId="0" borderId="4" xfId="0" applyBorder="1"/>
    <xf numFmtId="0" fontId="0" fillId="0" borderId="4" xfId="0" applyBorder="1" applyAlignment="1">
      <alignment horizontal="center" vertical="center"/>
    </xf>
    <xf numFmtId="0" fontId="1" fillId="0" borderId="11" xfId="0" applyFont="1"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6" fillId="5" borderId="16"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18" xfId="0" applyFont="1" applyFill="1" applyBorder="1" applyAlignment="1">
      <alignment vertical="center" wrapText="1"/>
    </xf>
    <xf numFmtId="0" fontId="0" fillId="0" borderId="0" xfId="0" applyAlignment="1">
      <alignment horizontal="left" vertical="center"/>
    </xf>
    <xf numFmtId="0" fontId="8" fillId="0" borderId="4" xfId="0" applyFont="1" applyBorder="1" applyAlignment="1">
      <alignment horizontal="center" vertical="center"/>
    </xf>
    <xf numFmtId="2" fontId="0" fillId="0" borderId="4" xfId="0" applyNumberFormat="1" applyBorder="1" applyAlignment="1">
      <alignment horizontal="center" vertical="center"/>
    </xf>
    <xf numFmtId="2" fontId="8" fillId="0" borderId="4" xfId="0" applyNumberFormat="1" applyFont="1" applyBorder="1" applyAlignment="1">
      <alignment horizontal="center" vertical="center" wrapText="1"/>
    </xf>
    <xf numFmtId="2" fontId="9" fillId="0" borderId="4" xfId="0" applyNumberFormat="1" applyFont="1" applyBorder="1" applyAlignment="1">
      <alignment horizontal="center" vertical="center"/>
    </xf>
    <xf numFmtId="2" fontId="5" fillId="0" borderId="4" xfId="2" applyNumberFormat="1" applyFont="1" applyFill="1" applyBorder="1" applyAlignment="1">
      <alignment horizontal="center" vertical="center" wrapText="1"/>
    </xf>
    <xf numFmtId="2" fontId="13" fillId="6" borderId="4" xfId="0" applyNumberFormat="1" applyFont="1" applyFill="1" applyBorder="1" applyAlignment="1">
      <alignment horizontal="center" vertical="center"/>
    </xf>
    <xf numFmtId="0" fontId="1" fillId="3" borderId="4" xfId="0" applyFont="1" applyFill="1" applyBorder="1" applyAlignment="1">
      <alignment horizontal="center" vertical="center"/>
    </xf>
    <xf numFmtId="0" fontId="10" fillId="3" borderId="4" xfId="0" applyFont="1" applyFill="1" applyBorder="1" applyAlignment="1">
      <alignment horizontal="center" vertical="center"/>
    </xf>
    <xf numFmtId="0" fontId="1" fillId="3" borderId="4" xfId="0" applyFont="1" applyFill="1" applyBorder="1" applyAlignment="1">
      <alignment vertical="center" wrapText="1"/>
    </xf>
    <xf numFmtId="2" fontId="8" fillId="3" borderId="4" xfId="0" applyNumberFormat="1" applyFont="1" applyFill="1" applyBorder="1" applyAlignment="1">
      <alignment horizontal="center" vertical="center"/>
    </xf>
    <xf numFmtId="2" fontId="8" fillId="0" borderId="4" xfId="0" applyNumberFormat="1" applyFont="1" applyBorder="1" applyAlignment="1">
      <alignment horizontal="center" vertical="center"/>
    </xf>
    <xf numFmtId="0" fontId="0" fillId="0" borderId="13" xfId="0" applyBorder="1" applyAlignment="1">
      <alignment horizontal="center" vertical="center"/>
    </xf>
    <xf numFmtId="165" fontId="3" fillId="0" borderId="4" xfId="0" applyNumberFormat="1" applyFont="1" applyBorder="1" applyAlignment="1">
      <alignment horizontal="center" vertical="center"/>
    </xf>
    <xf numFmtId="165" fontId="8" fillId="0" borderId="4" xfId="0" applyNumberFormat="1" applyFont="1" applyBorder="1" applyAlignment="1">
      <alignment horizontal="center" vertical="center" wrapText="1"/>
    </xf>
    <xf numFmtId="165" fontId="9" fillId="0" borderId="4" xfId="0" applyNumberFormat="1" applyFont="1" applyBorder="1" applyAlignment="1">
      <alignment horizontal="center" vertical="center"/>
    </xf>
    <xf numFmtId="165" fontId="0" fillId="0" borderId="4" xfId="0" applyNumberFormat="1" applyBorder="1" applyAlignment="1">
      <alignment horizontal="center" vertical="center"/>
    </xf>
    <xf numFmtId="165" fontId="8" fillId="0" borderId="4" xfId="0" applyNumberFormat="1" applyFont="1" applyBorder="1" applyAlignment="1">
      <alignment horizontal="center" vertical="center"/>
    </xf>
    <xf numFmtId="165" fontId="0" fillId="0" borderId="4" xfId="0" applyNumberFormat="1" applyBorder="1" applyAlignment="1">
      <alignment horizontal="center" vertical="center" wrapText="1"/>
    </xf>
    <xf numFmtId="1" fontId="13" fillId="0" borderId="4" xfId="0" applyNumberFormat="1" applyFont="1" applyBorder="1" applyAlignment="1">
      <alignment horizontal="center" vertical="center"/>
    </xf>
    <xf numFmtId="0" fontId="10" fillId="3" borderId="13" xfId="0" applyFont="1" applyFill="1" applyBorder="1" applyAlignment="1">
      <alignment horizontal="center" vertical="center"/>
    </xf>
    <xf numFmtId="2" fontId="10" fillId="3" borderId="14" xfId="1" applyNumberFormat="1" applyFont="1" applyFill="1" applyBorder="1" applyAlignment="1">
      <alignment horizontal="center" vertical="center"/>
    </xf>
    <xf numFmtId="0" fontId="11" fillId="0" borderId="13" xfId="0" applyFont="1" applyBorder="1" applyAlignment="1">
      <alignment horizontal="center" vertical="center"/>
    </xf>
    <xf numFmtId="2" fontId="8" fillId="0" borderId="14" xfId="1" applyNumberFormat="1" applyFont="1" applyBorder="1" applyAlignment="1">
      <alignment horizontal="center" vertical="center"/>
    </xf>
    <xf numFmtId="0" fontId="12" fillId="0" borderId="13" xfId="0" applyFont="1" applyBorder="1" applyAlignment="1">
      <alignment horizontal="center" vertical="center"/>
    </xf>
    <xf numFmtId="4" fontId="0" fillId="0" borderId="13" xfId="0" applyNumberFormat="1" applyBorder="1" applyAlignment="1">
      <alignment horizontal="center" vertical="center"/>
    </xf>
    <xf numFmtId="4" fontId="8" fillId="0" borderId="13" xfId="0" applyNumberFormat="1" applyFont="1" applyBorder="1" applyAlignment="1">
      <alignment horizontal="center" vertical="center"/>
    </xf>
    <xf numFmtId="2" fontId="12" fillId="0" borderId="19" xfId="0" applyNumberFormat="1" applyFont="1" applyBorder="1" applyAlignment="1">
      <alignment horizontal="center" vertical="center"/>
    </xf>
    <xf numFmtId="0" fontId="8" fillId="0" borderId="13" xfId="0" applyFont="1" applyBorder="1" applyAlignment="1">
      <alignment horizontal="center" vertical="center" wrapText="1"/>
    </xf>
    <xf numFmtId="0" fontId="0" fillId="0" borderId="13" xfId="0" applyBorder="1" applyAlignment="1">
      <alignment horizontal="center" vertical="center" wrapText="1"/>
    </xf>
    <xf numFmtId="0" fontId="9" fillId="0" borderId="13" xfId="0" applyFont="1" applyBorder="1" applyAlignment="1">
      <alignment horizontal="center" vertical="center"/>
    </xf>
    <xf numFmtId="0" fontId="13" fillId="6" borderId="13" xfId="0" applyFont="1" applyFill="1" applyBorder="1" applyAlignment="1">
      <alignment horizontal="center" vertical="center"/>
    </xf>
    <xf numFmtId="0" fontId="8" fillId="0" borderId="13" xfId="0" applyFont="1" applyBorder="1" applyAlignment="1">
      <alignment horizontal="center" vertical="center"/>
    </xf>
    <xf numFmtId="0" fontId="10" fillId="2" borderId="20" xfId="0" applyFont="1" applyFill="1" applyBorder="1" applyAlignment="1">
      <alignment vertical="center" wrapText="1"/>
    </xf>
    <xf numFmtId="0" fontId="10" fillId="2" borderId="12" xfId="0" applyFont="1" applyFill="1" applyBorder="1" applyAlignment="1">
      <alignment vertical="center" wrapText="1"/>
    </xf>
    <xf numFmtId="0" fontId="0" fillId="6" borderId="3" xfId="0" applyFill="1" applyBorder="1" applyAlignment="1">
      <alignment vertical="center" wrapText="1"/>
    </xf>
    <xf numFmtId="44" fontId="0" fillId="0" borderId="4" xfId="3" applyFont="1" applyBorder="1" applyAlignment="1">
      <alignment horizontal="center" vertical="center"/>
    </xf>
    <xf numFmtId="44" fontId="8" fillId="0" borderId="4" xfId="3" applyFont="1" applyBorder="1" applyAlignment="1">
      <alignment horizontal="center" vertical="center" wrapText="1"/>
    </xf>
    <xf numFmtId="44" fontId="9" fillId="0" borderId="4" xfId="3" applyFont="1" applyBorder="1" applyAlignment="1">
      <alignment horizontal="center" vertical="center"/>
    </xf>
    <xf numFmtId="44" fontId="5" fillId="0" borderId="4" xfId="3" applyFont="1" applyFill="1" applyBorder="1" applyAlignment="1">
      <alignment horizontal="center" vertical="center" wrapText="1"/>
    </xf>
    <xf numFmtId="44" fontId="13" fillId="6" borderId="4" xfId="3" applyFont="1" applyFill="1" applyBorder="1" applyAlignment="1">
      <alignment horizontal="center" vertical="center"/>
    </xf>
    <xf numFmtId="44" fontId="8" fillId="0" borderId="4" xfId="3" applyFont="1" applyBorder="1" applyAlignment="1">
      <alignment horizontal="center" vertical="center"/>
    </xf>
    <xf numFmtId="44" fontId="0" fillId="0" borderId="0" xfId="0" applyNumberFormat="1"/>
    <xf numFmtId="0" fontId="16" fillId="3" borderId="4" xfId="0" applyFont="1" applyFill="1" applyBorder="1" applyAlignment="1">
      <alignment vertical="center" wrapText="1"/>
    </xf>
    <xf numFmtId="0" fontId="17" fillId="3" borderId="4" xfId="0" applyFont="1" applyFill="1" applyBorder="1" applyAlignment="1">
      <alignment horizontal="right"/>
    </xf>
    <xf numFmtId="44" fontId="17" fillId="3" borderId="4" xfId="0" applyNumberFormat="1" applyFont="1" applyFill="1" applyBorder="1"/>
    <xf numFmtId="0" fontId="1" fillId="0" borderId="0" xfId="0" applyFont="1"/>
    <xf numFmtId="0" fontId="2" fillId="0" borderId="0" xfId="0" applyFont="1"/>
    <xf numFmtId="0" fontId="2" fillId="0" borderId="0" xfId="0" applyFont="1" applyAlignment="1">
      <alignment horizontal="left" vertical="center"/>
    </xf>
    <xf numFmtId="44" fontId="10" fillId="2" borderId="15" xfId="3" applyFont="1" applyFill="1" applyBorder="1" applyAlignment="1">
      <alignment horizontal="center" vertical="center"/>
    </xf>
    <xf numFmtId="44" fontId="10" fillId="0" borderId="20" xfId="3" applyFont="1" applyBorder="1" applyAlignment="1">
      <alignment vertical="center" wrapText="1"/>
    </xf>
    <xf numFmtId="44" fontId="10" fillId="0" borderId="12" xfId="3" applyFont="1" applyBorder="1" applyAlignment="1">
      <alignment vertical="center" wrapText="1"/>
    </xf>
    <xf numFmtId="44" fontId="10" fillId="0" borderId="15" xfId="3" applyFont="1" applyBorder="1" applyAlignment="1">
      <alignment horizontal="center" vertical="center"/>
    </xf>
    <xf numFmtId="0" fontId="1" fillId="0" borderId="4" xfId="0" applyFont="1" applyBorder="1" applyAlignment="1">
      <alignment horizontal="center" vertical="center"/>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center" vertical="center"/>
    </xf>
    <xf numFmtId="0" fontId="18" fillId="0" borderId="4" xfId="0" applyFont="1" applyBorder="1" applyAlignment="1">
      <alignment vertical="center" wrapText="1"/>
    </xf>
    <xf numFmtId="2" fontId="8" fillId="0" borderId="4" xfId="1" applyNumberFormat="1" applyFont="1" applyBorder="1" applyAlignment="1">
      <alignment horizontal="center" vertical="center"/>
    </xf>
    <xf numFmtId="0" fontId="8" fillId="0" borderId="4" xfId="0" applyFont="1" applyBorder="1" applyAlignment="1">
      <alignment horizontal="left" vertical="center" wrapText="1"/>
    </xf>
    <xf numFmtId="0" fontId="0" fillId="0" borderId="4" xfId="0" applyBorder="1" applyAlignment="1">
      <alignment horizontal="center" vertical="center" wrapText="1"/>
    </xf>
    <xf numFmtId="0" fontId="8" fillId="0" borderId="4" xfId="0" applyFont="1" applyBorder="1" applyAlignment="1">
      <alignment vertical="center" wrapText="1"/>
    </xf>
    <xf numFmtId="0" fontId="10" fillId="0" borderId="4" xfId="0" applyFont="1" applyBorder="1" applyAlignment="1">
      <alignment vertical="center" wrapText="1"/>
    </xf>
    <xf numFmtId="166" fontId="0" fillId="0" borderId="4" xfId="0" applyNumberFormat="1" applyBorder="1" applyAlignment="1">
      <alignment horizontal="center" vertical="center"/>
    </xf>
    <xf numFmtId="4" fontId="0" fillId="0" borderId="4" xfId="0" applyNumberFormat="1" applyBorder="1" applyAlignment="1">
      <alignment horizontal="center" vertical="center"/>
    </xf>
    <xf numFmtId="0" fontId="0" fillId="0" borderId="4" xfId="0" applyBorder="1" applyAlignment="1">
      <alignment vertical="center" wrapText="1"/>
    </xf>
    <xf numFmtId="0" fontId="10" fillId="0" borderId="4" xfId="0" applyFont="1" applyBorder="1" applyAlignment="1">
      <alignment vertical="center"/>
    </xf>
    <xf numFmtId="0" fontId="18" fillId="0" borderId="4" xfId="0" applyFont="1" applyBorder="1"/>
    <xf numFmtId="0" fontId="0" fillId="0" borderId="4" xfId="0" applyBorder="1" applyAlignment="1">
      <alignment wrapText="1"/>
    </xf>
    <xf numFmtId="49" fontId="8" fillId="0" borderId="4" xfId="0" applyNumberFormat="1" applyFont="1" applyBorder="1" applyAlignment="1">
      <alignment horizontal="justify" vertical="top" wrapText="1"/>
    </xf>
    <xf numFmtId="0" fontId="10" fillId="7" borderId="4" xfId="0" applyFont="1" applyFill="1" applyBorder="1" applyAlignment="1">
      <alignment vertical="center"/>
    </xf>
    <xf numFmtId="0" fontId="10" fillId="7" borderId="1" xfId="0" applyFont="1" applyFill="1" applyBorder="1" applyAlignment="1">
      <alignment horizontal="center" vertical="center"/>
    </xf>
    <xf numFmtId="0" fontId="10" fillId="7" borderId="2" xfId="0" applyFont="1" applyFill="1" applyBorder="1" applyAlignment="1">
      <alignment horizontal="center" vertical="center"/>
    </xf>
    <xf numFmtId="0" fontId="10" fillId="7" borderId="3" xfId="0" applyFont="1" applyFill="1" applyBorder="1" applyAlignment="1">
      <alignment horizontal="center" vertical="center"/>
    </xf>
    <xf numFmtId="0" fontId="6" fillId="4" borderId="21" xfId="0" applyFont="1" applyFill="1" applyBorder="1" applyAlignment="1">
      <alignment horizontal="left"/>
    </xf>
    <xf numFmtId="0" fontId="6" fillId="4" borderId="22" xfId="0" applyFont="1" applyFill="1" applyBorder="1"/>
    <xf numFmtId="0" fontId="6" fillId="5" borderId="23" xfId="0" applyFont="1" applyFill="1" applyBorder="1" applyAlignment="1">
      <alignment horizontal="center" vertical="center" wrapText="1"/>
    </xf>
    <xf numFmtId="0" fontId="6" fillId="5" borderId="24" xfId="0" applyFont="1" applyFill="1" applyBorder="1" applyAlignment="1">
      <alignment horizontal="center" vertical="center" wrapText="1"/>
    </xf>
    <xf numFmtId="0" fontId="3" fillId="0" borderId="4" xfId="0" applyFont="1" applyBorder="1" applyAlignment="1">
      <alignment horizontal="center" vertical="center"/>
    </xf>
    <xf numFmtId="0" fontId="8" fillId="0" borderId="4" xfId="0" applyFont="1" applyBorder="1" applyAlignment="1">
      <alignment horizontal="center" vertical="center" wrapText="1"/>
    </xf>
    <xf numFmtId="0" fontId="0" fillId="0" borderId="4" xfId="0" applyBorder="1" applyAlignment="1">
      <alignment horizontal="left" vertical="center" wrapText="1"/>
    </xf>
    <xf numFmtId="0" fontId="0" fillId="0" borderId="0" xfId="0" applyAlignment="1">
      <alignment horizontal="center"/>
    </xf>
    <xf numFmtId="0" fontId="0" fillId="0" borderId="0" xfId="0" applyAlignment="1">
      <alignment wrapText="1"/>
    </xf>
    <xf numFmtId="49" fontId="19" fillId="0" borderId="4" xfId="0" applyNumberFormat="1" applyFont="1" applyBorder="1" applyAlignment="1">
      <alignment horizontal="justify" vertical="top" wrapText="1"/>
    </xf>
    <xf numFmtId="0" fontId="20" fillId="0" borderId="4" xfId="0" applyFont="1" applyBorder="1" applyAlignment="1">
      <alignment vertical="center" wrapText="1"/>
    </xf>
    <xf numFmtId="2" fontId="21" fillId="0" borderId="4" xfId="0" applyNumberFormat="1" applyFont="1" applyBorder="1" applyAlignment="1">
      <alignment horizontal="center" vertical="center"/>
    </xf>
    <xf numFmtId="0" fontId="19" fillId="0" borderId="4" xfId="0" applyFont="1" applyBorder="1" applyAlignment="1">
      <alignment vertical="center" wrapText="1"/>
    </xf>
    <xf numFmtId="0" fontId="8" fillId="0" borderId="10" xfId="0" applyFont="1" applyBorder="1" applyAlignment="1">
      <alignment horizontal="center" vertical="center"/>
    </xf>
    <xf numFmtId="2" fontId="8" fillId="0" borderId="10" xfId="0" applyNumberFormat="1" applyFont="1" applyBorder="1" applyAlignment="1">
      <alignment horizontal="center" vertical="center"/>
    </xf>
    <xf numFmtId="2" fontId="8" fillId="0" borderId="10" xfId="1" applyNumberFormat="1" applyFont="1" applyBorder="1" applyAlignment="1">
      <alignment horizontal="center" vertical="center"/>
    </xf>
    <xf numFmtId="0" fontId="1" fillId="5" borderId="30" xfId="0" applyFont="1" applyFill="1" applyBorder="1" applyAlignment="1">
      <alignment vertical="center" wrapText="1"/>
    </xf>
    <xf numFmtId="0" fontId="1" fillId="5" borderId="30" xfId="0" applyFont="1" applyFill="1" applyBorder="1" applyAlignment="1">
      <alignment horizontal="center" vertical="center" wrapText="1"/>
    </xf>
    <xf numFmtId="0" fontId="1" fillId="5" borderId="31" xfId="0" applyFont="1" applyFill="1" applyBorder="1" applyAlignment="1">
      <alignment vertical="center" wrapText="1"/>
    </xf>
    <xf numFmtId="0" fontId="0" fillId="0" borderId="1" xfId="0" applyBorder="1" applyAlignment="1">
      <alignment horizontal="center" vertical="center" wrapText="1"/>
    </xf>
    <xf numFmtId="0" fontId="8" fillId="0" borderId="1" xfId="0" applyFont="1" applyBorder="1" applyAlignment="1">
      <alignment horizontal="center" vertical="center"/>
    </xf>
    <xf numFmtId="0" fontId="10" fillId="0" borderId="1" xfId="0" applyFont="1" applyBorder="1" applyAlignment="1">
      <alignment vertical="center" wrapText="1"/>
    </xf>
    <xf numFmtId="0" fontId="0" fillId="0" borderId="1" xfId="0" applyBorder="1" applyAlignment="1">
      <alignment horizontal="center" vertical="center"/>
    </xf>
    <xf numFmtId="0" fontId="0" fillId="0" borderId="1" xfId="0" applyBorder="1"/>
    <xf numFmtId="0" fontId="8" fillId="0" borderId="27" xfId="0" applyFont="1" applyBorder="1" applyAlignment="1">
      <alignment horizontal="center" vertical="center"/>
    </xf>
    <xf numFmtId="2" fontId="8" fillId="0" borderId="28" xfId="0" applyNumberFormat="1" applyFont="1" applyBorder="1" applyAlignment="1">
      <alignment horizontal="center" vertical="center"/>
    </xf>
    <xf numFmtId="2" fontId="8" fillId="0" borderId="29" xfId="1" applyNumberFormat="1" applyFont="1" applyBorder="1" applyAlignment="1">
      <alignment horizontal="center" vertical="center"/>
    </xf>
    <xf numFmtId="2" fontId="8" fillId="0" borderId="13" xfId="0" applyNumberFormat="1" applyFont="1" applyBorder="1" applyAlignment="1">
      <alignment horizontal="center" vertical="center"/>
    </xf>
    <xf numFmtId="2" fontId="8" fillId="0" borderId="13" xfId="0" applyNumberFormat="1" applyFont="1" applyBorder="1" applyAlignment="1">
      <alignment horizontal="center" vertical="center" wrapText="1"/>
    </xf>
    <xf numFmtId="2" fontId="0" fillId="0" borderId="13" xfId="0" applyNumberFormat="1" applyBorder="1" applyAlignment="1">
      <alignment horizontal="center" vertical="center"/>
    </xf>
    <xf numFmtId="0" fontId="10" fillId="0" borderId="13" xfId="0" applyFont="1" applyBorder="1" applyAlignment="1">
      <alignment vertical="center" wrapText="1"/>
    </xf>
    <xf numFmtId="166" fontId="0" fillId="0" borderId="13" xfId="0" applyNumberFormat="1" applyBorder="1" applyAlignment="1">
      <alignment horizontal="center" vertical="center"/>
    </xf>
    <xf numFmtId="0" fontId="0" fillId="0" borderId="13" xfId="0" applyBorder="1"/>
    <xf numFmtId="0" fontId="10" fillId="7" borderId="32" xfId="0" applyFont="1" applyFill="1" applyBorder="1" applyAlignment="1">
      <alignment horizontal="center" vertical="center"/>
    </xf>
    <xf numFmtId="2" fontId="1" fillId="7" borderId="14" xfId="1" applyNumberFormat="1" applyFont="1" applyFill="1" applyBorder="1" applyAlignment="1">
      <alignment horizontal="center" vertical="center"/>
    </xf>
    <xf numFmtId="44" fontId="10" fillId="0" borderId="4" xfId="3" applyFont="1" applyBorder="1" applyAlignment="1">
      <alignment horizontal="center" vertical="center"/>
    </xf>
    <xf numFmtId="44" fontId="0" fillId="0" borderId="0" xfId="3" applyFont="1" applyAlignment="1">
      <alignment horizontal="center" vertical="center"/>
    </xf>
    <xf numFmtId="44" fontId="0" fillId="0" borderId="0" xfId="3" applyFont="1"/>
    <xf numFmtId="0" fontId="10" fillId="7" borderId="1" xfId="0" applyFont="1" applyFill="1" applyBorder="1" applyAlignment="1">
      <alignment vertical="center"/>
    </xf>
    <xf numFmtId="0" fontId="15" fillId="7" borderId="2" xfId="0" applyFont="1" applyFill="1" applyBorder="1" applyAlignment="1">
      <alignment vertical="center"/>
    </xf>
    <xf numFmtId="0" fontId="15" fillId="7" borderId="3" xfId="0" applyFont="1" applyFill="1" applyBorder="1" applyAlignment="1">
      <alignment horizontal="right" vertical="center"/>
    </xf>
    <xf numFmtId="44" fontId="2" fillId="7" borderId="4" xfId="3" applyFont="1" applyFill="1" applyBorder="1" applyAlignment="1">
      <alignment horizontal="center" vertical="center"/>
    </xf>
    <xf numFmtId="165" fontId="13" fillId="0" borderId="4" xfId="0" applyNumberFormat="1" applyFont="1" applyBorder="1" applyAlignment="1">
      <alignment horizontal="center" vertical="center"/>
    </xf>
    <xf numFmtId="0" fontId="17" fillId="3" borderId="4" xfId="0" applyFont="1" applyFill="1" applyBorder="1" applyAlignment="1">
      <alignment horizontal="center"/>
    </xf>
    <xf numFmtId="44" fontId="6" fillId="5" borderId="24" xfId="3" applyFont="1" applyFill="1" applyBorder="1" applyAlignment="1">
      <alignment horizontal="center" vertical="center" wrapText="1"/>
    </xf>
    <xf numFmtId="44" fontId="6" fillId="5" borderId="25" xfId="3" applyFont="1" applyFill="1" applyBorder="1" applyAlignment="1">
      <alignment horizontal="center" vertical="center" wrapText="1"/>
    </xf>
    <xf numFmtId="0" fontId="8" fillId="0" borderId="4" xfId="0" applyFont="1" applyBorder="1" applyAlignment="1">
      <alignment horizontal="left" vertical="top" wrapText="1"/>
    </xf>
    <xf numFmtId="44" fontId="0" fillId="0" borderId="4" xfId="3" applyFont="1" applyFill="1" applyBorder="1" applyAlignment="1">
      <alignment horizontal="center" vertical="center"/>
    </xf>
    <xf numFmtId="44" fontId="8" fillId="0" borderId="4" xfId="3" applyFont="1" applyFill="1" applyBorder="1" applyAlignment="1">
      <alignment horizontal="center" vertical="center" wrapText="1"/>
    </xf>
    <xf numFmtId="44" fontId="9" fillId="0" borderId="4" xfId="3" applyFont="1" applyFill="1" applyBorder="1" applyAlignment="1">
      <alignment horizontal="center" vertical="center"/>
    </xf>
    <xf numFmtId="44" fontId="13" fillId="0" borderId="4" xfId="3" applyFont="1" applyFill="1" applyBorder="1" applyAlignment="1">
      <alignment horizontal="center" vertical="center"/>
    </xf>
    <xf numFmtId="44" fontId="8" fillId="0" borderId="4" xfId="3" applyFont="1" applyFill="1" applyBorder="1" applyAlignment="1">
      <alignment horizontal="center" vertical="center"/>
    </xf>
    <xf numFmtId="0" fontId="17" fillId="3" borderId="4" xfId="0" applyFont="1" applyFill="1" applyBorder="1" applyAlignment="1">
      <alignment horizontal="center" vertical="center"/>
    </xf>
    <xf numFmtId="44" fontId="17" fillId="3" borderId="4" xfId="0" applyNumberFormat="1" applyFont="1" applyFill="1" applyBorder="1" applyAlignment="1">
      <alignment horizontal="center" vertical="center"/>
    </xf>
    <xf numFmtId="44" fontId="0" fillId="0" borderId="0" xfId="0" applyNumberFormat="1" applyAlignment="1">
      <alignment horizontal="center" vertical="center"/>
    </xf>
    <xf numFmtId="0" fontId="17" fillId="3" borderId="4" xfId="0" applyFont="1" applyFill="1" applyBorder="1" applyAlignment="1">
      <alignment horizontal="right" vertical="center"/>
    </xf>
    <xf numFmtId="0" fontId="0" fillId="0" borderId="4" xfId="0" applyBorder="1" applyAlignment="1">
      <alignment horizontal="left" vertical="top" wrapText="1"/>
    </xf>
    <xf numFmtId="0" fontId="16" fillId="3" borderId="4" xfId="0" applyFont="1" applyFill="1" applyBorder="1" applyAlignment="1">
      <alignment horizontal="center" vertical="center" wrapText="1"/>
    </xf>
    <xf numFmtId="0" fontId="1" fillId="3" borderId="4" xfId="0" applyFont="1" applyFill="1" applyBorder="1" applyAlignment="1">
      <alignment vertical="top" wrapText="1"/>
    </xf>
    <xf numFmtId="0" fontId="16" fillId="3" borderId="4" xfId="0" applyFont="1" applyFill="1" applyBorder="1" applyAlignment="1">
      <alignment vertical="top" wrapText="1"/>
    </xf>
    <xf numFmtId="0" fontId="0" fillId="0" borderId="0" xfId="0" applyAlignment="1">
      <alignment vertical="top"/>
    </xf>
    <xf numFmtId="0" fontId="22" fillId="0" borderId="16" xfId="0" applyFont="1" applyBorder="1" applyAlignment="1">
      <alignment vertical="center" wrapText="1"/>
    </xf>
    <xf numFmtId="44" fontId="25" fillId="0" borderId="18" xfId="3" applyFont="1" applyBorder="1" applyAlignment="1">
      <alignment horizontal="center" vertical="center" wrapText="1"/>
    </xf>
    <xf numFmtId="0" fontId="25" fillId="0" borderId="35" xfId="0" applyFont="1" applyBorder="1" applyAlignment="1">
      <alignment horizontal="center" vertical="center"/>
    </xf>
    <xf numFmtId="0" fontId="25" fillId="0" borderId="16" xfId="0" applyFont="1" applyBorder="1" applyAlignment="1">
      <alignment horizontal="center" vertical="center"/>
    </xf>
    <xf numFmtId="43" fontId="25" fillId="0" borderId="17" xfId="1" applyFont="1" applyBorder="1" applyAlignment="1">
      <alignment horizontal="center" vertical="center"/>
    </xf>
    <xf numFmtId="44" fontId="25" fillId="0" borderId="18" xfId="3" applyFont="1" applyBorder="1" applyAlignment="1">
      <alignment horizontal="center" vertical="center"/>
    </xf>
    <xf numFmtId="0" fontId="31" fillId="0" borderId="4" xfId="0" applyFont="1" applyBorder="1" applyAlignment="1">
      <alignment horizontal="center" vertical="center" wrapText="1"/>
    </xf>
    <xf numFmtId="0" fontId="31" fillId="0" borderId="0" xfId="0" applyFont="1"/>
    <xf numFmtId="0" fontId="12" fillId="0" borderId="0" xfId="0" applyFont="1"/>
    <xf numFmtId="165" fontId="12" fillId="0" borderId="0" xfId="0" applyNumberFormat="1" applyFont="1" applyAlignment="1">
      <alignment horizontal="center" vertical="center"/>
    </xf>
    <xf numFmtId="0" fontId="33" fillId="0" borderId="4" xfId="0" applyFont="1" applyBorder="1" applyAlignment="1">
      <alignment horizontal="center" vertical="center"/>
    </xf>
    <xf numFmtId="0" fontId="31" fillId="0" borderId="0" xfId="0" applyFont="1" applyAlignment="1">
      <alignment horizontal="center" vertical="center"/>
    </xf>
    <xf numFmtId="0" fontId="33" fillId="0" borderId="10" xfId="0" applyFont="1" applyBorder="1" applyAlignment="1">
      <alignment horizontal="center" vertical="center"/>
    </xf>
    <xf numFmtId="0" fontId="36" fillId="8" borderId="5" xfId="0" applyFont="1" applyFill="1" applyBorder="1" applyAlignment="1">
      <alignment horizontal="right"/>
    </xf>
    <xf numFmtId="0" fontId="36" fillId="8" borderId="6" xfId="0" applyFont="1" applyFill="1" applyBorder="1" applyAlignment="1">
      <alignment horizontal="center" vertical="center"/>
    </xf>
    <xf numFmtId="44" fontId="36" fillId="8" borderId="7" xfId="3" applyFont="1" applyFill="1" applyBorder="1" applyAlignment="1">
      <alignment horizontal="center" vertical="center"/>
    </xf>
    <xf numFmtId="0" fontId="11" fillId="0" borderId="42" xfId="4" applyFont="1" applyBorder="1" applyAlignment="1">
      <alignment horizontal="left" vertical="top" wrapText="1"/>
    </xf>
    <xf numFmtId="0" fontId="36" fillId="8" borderId="34" xfId="0" applyFont="1" applyFill="1" applyBorder="1" applyAlignment="1">
      <alignment horizontal="right"/>
    </xf>
    <xf numFmtId="0" fontId="29" fillId="3" borderId="16" xfId="0" applyFont="1" applyFill="1" applyBorder="1" applyAlignment="1">
      <alignment horizontal="center"/>
    </xf>
    <xf numFmtId="0" fontId="35" fillId="3" borderId="18" xfId="4" applyFont="1" applyFill="1" applyBorder="1" applyAlignment="1">
      <alignment horizontal="left" vertical="center" wrapText="1"/>
    </xf>
    <xf numFmtId="0" fontId="31" fillId="0" borderId="3" xfId="0" applyFont="1" applyBorder="1" applyAlignment="1">
      <alignment vertical="center" wrapText="1"/>
    </xf>
    <xf numFmtId="0" fontId="35" fillId="0" borderId="43" xfId="4" applyFont="1" applyBorder="1" applyAlignment="1">
      <alignment horizontal="center" vertical="center"/>
    </xf>
    <xf numFmtId="0" fontId="32" fillId="0" borderId="46" xfId="4" applyFont="1" applyBorder="1" applyAlignment="1">
      <alignment horizontal="center" vertical="top"/>
    </xf>
    <xf numFmtId="0" fontId="12" fillId="0" borderId="22" xfId="0" applyFont="1" applyBorder="1" applyAlignment="1">
      <alignment horizontal="right"/>
    </xf>
    <xf numFmtId="44" fontId="25" fillId="0" borderId="29" xfId="3" applyFont="1" applyBorder="1" applyAlignment="1">
      <alignment horizontal="center" vertical="center" wrapText="1"/>
    </xf>
    <xf numFmtId="44" fontId="25" fillId="0" borderId="15" xfId="3" applyFont="1" applyBorder="1" applyAlignment="1">
      <alignment horizontal="center" vertical="center" wrapText="1"/>
    </xf>
    <xf numFmtId="0" fontId="39" fillId="0" borderId="4" xfId="0" applyFont="1" applyBorder="1" applyAlignment="1">
      <alignment horizontal="left" vertical="top" wrapText="1"/>
    </xf>
    <xf numFmtId="44" fontId="31" fillId="0" borderId="4" xfId="3" applyFont="1" applyBorder="1" applyAlignment="1">
      <alignment horizontal="center" vertical="center" wrapText="1"/>
    </xf>
    <xf numFmtId="44" fontId="33" fillId="0" borderId="4" xfId="3" applyFont="1" applyBorder="1" applyAlignment="1" applyProtection="1">
      <alignment horizontal="center" vertical="center"/>
      <protection locked="0"/>
    </xf>
    <xf numFmtId="44" fontId="36" fillId="8" borderId="41" xfId="3" applyFont="1" applyFill="1" applyBorder="1" applyAlignment="1" applyProtection="1">
      <alignment horizontal="right" vertical="center"/>
      <protection locked="0"/>
    </xf>
    <xf numFmtId="0" fontId="31" fillId="0" borderId="14" xfId="0" applyFont="1" applyBorder="1" applyAlignment="1">
      <alignment vertical="center" wrapText="1"/>
    </xf>
    <xf numFmtId="0" fontId="0" fillId="0" borderId="49" xfId="0" applyBorder="1" applyAlignment="1">
      <alignment horizontal="center" vertical="center"/>
    </xf>
    <xf numFmtId="0" fontId="1" fillId="0" borderId="50" xfId="0" applyFont="1" applyBorder="1" applyAlignment="1">
      <alignment horizontal="center" vertical="center"/>
    </xf>
    <xf numFmtId="0" fontId="25" fillId="0" borderId="19" xfId="0" applyFont="1" applyBorder="1" applyAlignment="1">
      <alignment vertical="center"/>
    </xf>
    <xf numFmtId="44" fontId="31" fillId="0" borderId="0" xfId="3" applyFont="1" applyBorder="1" applyAlignment="1">
      <alignment horizontal="center" vertical="center"/>
    </xf>
    <xf numFmtId="0" fontId="31" fillId="0" borderId="51" xfId="0" applyFont="1" applyBorder="1"/>
    <xf numFmtId="165" fontId="31" fillId="0" borderId="0" xfId="0" applyNumberFormat="1" applyFont="1" applyAlignment="1">
      <alignment horizontal="center" vertical="center"/>
    </xf>
    <xf numFmtId="0" fontId="13" fillId="0" borderId="0" xfId="0" applyFont="1" applyAlignment="1">
      <alignment horizontal="center" vertical="center"/>
    </xf>
    <xf numFmtId="2" fontId="12" fillId="0" borderId="4" xfId="0" applyNumberFormat="1" applyFont="1" applyBorder="1" applyAlignment="1">
      <alignment horizontal="center" vertical="center" wrapText="1"/>
    </xf>
    <xf numFmtId="44" fontId="12" fillId="0" borderId="4" xfId="3" applyFont="1" applyBorder="1" applyAlignment="1">
      <alignment horizontal="center" vertical="center" wrapText="1"/>
    </xf>
    <xf numFmtId="0" fontId="11" fillId="0" borderId="4" xfId="4" applyFont="1" applyBorder="1" applyAlignment="1">
      <alignment horizontal="left" vertical="top" wrapText="1"/>
    </xf>
    <xf numFmtId="0" fontId="12" fillId="0" borderId="4" xfId="0" applyFont="1" applyBorder="1" applyAlignment="1">
      <alignment horizontal="center" vertical="center" wrapText="1"/>
    </xf>
    <xf numFmtId="0" fontId="11" fillId="0" borderId="4" xfId="4" applyFont="1" applyBorder="1" applyAlignment="1">
      <alignment horizontal="right" vertical="center"/>
    </xf>
    <xf numFmtId="0" fontId="0" fillId="0" borderId="42" xfId="4" applyFont="1" applyBorder="1" applyAlignment="1">
      <alignment horizontal="left" vertical="top" wrapText="1"/>
    </xf>
    <xf numFmtId="44" fontId="11" fillId="0" borderId="4" xfId="3" applyFont="1" applyFill="1" applyBorder="1" applyAlignment="1">
      <alignment horizontal="center" vertical="center" wrapText="1"/>
    </xf>
    <xf numFmtId="0" fontId="25" fillId="0" borderId="11" xfId="0" applyFont="1" applyBorder="1" applyAlignment="1">
      <alignment horizontal="center" vertical="center"/>
    </xf>
    <xf numFmtId="0" fontId="39" fillId="0" borderId="11" xfId="0" applyFont="1" applyBorder="1" applyAlignment="1">
      <alignment horizontal="left" vertical="top" wrapText="1"/>
    </xf>
    <xf numFmtId="44" fontId="33" fillId="0" borderId="4" xfId="3" applyFont="1" applyBorder="1" applyAlignment="1" applyProtection="1">
      <alignment horizontal="center" vertical="center"/>
    </xf>
    <xf numFmtId="0" fontId="41" fillId="0" borderId="0" xfId="0" applyFont="1" applyAlignment="1">
      <alignment vertical="center"/>
    </xf>
    <xf numFmtId="0" fontId="11" fillId="0" borderId="4" xfId="4" applyFont="1" applyBorder="1" applyAlignment="1">
      <alignment horizontal="left" vertical="center" wrapText="1"/>
    </xf>
    <xf numFmtId="0" fontId="25" fillId="0" borderId="4" xfId="0" applyFont="1" applyBorder="1" applyAlignment="1">
      <alignment horizontal="center" vertical="center"/>
    </xf>
    <xf numFmtId="1" fontId="12" fillId="0" borderId="4" xfId="0" applyNumberFormat="1" applyFont="1" applyBorder="1" applyAlignment="1">
      <alignment horizontal="center" vertical="center" wrapText="1"/>
    </xf>
    <xf numFmtId="0" fontId="12" fillId="0" borderId="57" xfId="0" applyFont="1" applyBorder="1" applyAlignment="1">
      <alignment vertical="center" wrapText="1"/>
    </xf>
    <xf numFmtId="0" fontId="12" fillId="0" borderId="1" xfId="0" applyFont="1" applyBorder="1" applyAlignment="1">
      <alignment vertical="center" wrapText="1"/>
    </xf>
    <xf numFmtId="0" fontId="12" fillId="0" borderId="42" xfId="0" applyFont="1" applyBorder="1" applyAlignment="1">
      <alignment vertical="center" wrapText="1"/>
    </xf>
    <xf numFmtId="0" fontId="12" fillId="0" borderId="53" xfId="0" applyFont="1" applyBorder="1" applyAlignment="1">
      <alignment vertical="center" wrapText="1"/>
    </xf>
    <xf numFmtId="0" fontId="12" fillId="0" borderId="56" xfId="0" applyFont="1" applyBorder="1" applyAlignment="1">
      <alignment vertical="center" wrapText="1"/>
    </xf>
    <xf numFmtId="0" fontId="12" fillId="0" borderId="42" xfId="0" applyFont="1" applyBorder="1" applyAlignment="1">
      <alignment vertical="center"/>
    </xf>
    <xf numFmtId="0" fontId="12" fillId="0" borderId="56" xfId="0" applyFont="1" applyBorder="1" applyAlignment="1">
      <alignment vertical="center"/>
    </xf>
    <xf numFmtId="0" fontId="12" fillId="0" borderId="0" xfId="0" applyFont="1" applyAlignment="1">
      <alignment vertical="center" wrapText="1"/>
    </xf>
    <xf numFmtId="0" fontId="12" fillId="0" borderId="39" xfId="0" applyFont="1" applyBorder="1" applyAlignment="1">
      <alignment vertical="center" wrapText="1"/>
    </xf>
    <xf numFmtId="0" fontId="12" fillId="0" borderId="1" xfId="0" applyFont="1" applyBorder="1" applyAlignment="1">
      <alignment horizontal="left"/>
    </xf>
    <xf numFmtId="0" fontId="12" fillId="0" borderId="2" xfId="0" applyFont="1" applyBorder="1" applyAlignment="1">
      <alignment horizontal="left"/>
    </xf>
    <xf numFmtId="0" fontId="12" fillId="0" borderId="2" xfId="0" applyFont="1" applyBorder="1"/>
    <xf numFmtId="0" fontId="0" fillId="0" borderId="0" xfId="0" applyAlignment="1">
      <alignment horizontal="left"/>
    </xf>
    <xf numFmtId="0" fontId="43" fillId="11" borderId="36" xfId="0" applyFont="1" applyFill="1" applyBorder="1" applyAlignment="1">
      <alignment horizontal="left" vertical="center"/>
    </xf>
    <xf numFmtId="0" fontId="43" fillId="11" borderId="58" xfId="0" applyFont="1" applyFill="1" applyBorder="1" applyAlignment="1">
      <alignment horizontal="left"/>
    </xf>
    <xf numFmtId="0" fontId="43" fillId="11" borderId="22" xfId="0" applyFont="1" applyFill="1" applyBorder="1"/>
    <xf numFmtId="0" fontId="43" fillId="12" borderId="59" xfId="0" applyFont="1" applyFill="1" applyBorder="1" applyAlignment="1">
      <alignment vertical="center" wrapText="1"/>
    </xf>
    <xf numFmtId="0" fontId="43" fillId="12" borderId="60" xfId="0" applyFont="1" applyFill="1" applyBorder="1" applyAlignment="1">
      <alignment vertical="center" wrapText="1"/>
    </xf>
    <xf numFmtId="0" fontId="43" fillId="12" borderId="61" xfId="0" applyFont="1" applyFill="1" applyBorder="1" applyAlignment="1">
      <alignment vertical="center" wrapText="1"/>
    </xf>
    <xf numFmtId="0" fontId="45" fillId="0" borderId="49" xfId="0" applyFont="1" applyBorder="1" applyAlignment="1">
      <alignment horizontal="center" vertical="center" wrapText="1"/>
    </xf>
    <xf numFmtId="0" fontId="46" fillId="0" borderId="11" xfId="6" applyFont="1" applyBorder="1" applyAlignment="1">
      <alignment horizontal="left" vertical="top"/>
    </xf>
    <xf numFmtId="43" fontId="47" fillId="0" borderId="14" xfId="0" applyNumberFormat="1" applyFont="1" applyBorder="1" applyAlignment="1">
      <alignment horizontal="center" vertical="center" wrapText="1"/>
    </xf>
    <xf numFmtId="43" fontId="43" fillId="13" borderId="18" xfId="0" applyNumberFormat="1" applyFont="1" applyFill="1" applyBorder="1" applyAlignment="1">
      <alignment horizontal="center" vertical="center" wrapText="1"/>
    </xf>
    <xf numFmtId="0" fontId="48" fillId="0" borderId="0" xfId="0" applyFont="1" applyAlignment="1">
      <alignment horizontal="right" vertical="center"/>
    </xf>
    <xf numFmtId="167" fontId="35" fillId="10" borderId="5" xfId="4" applyNumberFormat="1" applyFont="1" applyFill="1" applyBorder="1" applyAlignment="1">
      <alignment vertical="center"/>
    </xf>
    <xf numFmtId="167" fontId="35" fillId="10" borderId="7" xfId="4" applyNumberFormat="1" applyFont="1" applyFill="1" applyBorder="1" applyAlignment="1">
      <alignment vertical="center"/>
    </xf>
    <xf numFmtId="0" fontId="49" fillId="0" borderId="57" xfId="0" applyFont="1" applyBorder="1" applyAlignment="1">
      <alignment horizontal="center" vertical="center" wrapText="1"/>
    </xf>
    <xf numFmtId="2" fontId="49" fillId="0" borderId="57" xfId="0" applyNumberFormat="1" applyFont="1" applyBorder="1" applyAlignment="1">
      <alignment horizontal="left" vertical="center" wrapText="1"/>
    </xf>
    <xf numFmtId="2" fontId="12" fillId="0" borderId="57" xfId="0" applyNumberFormat="1" applyFont="1" applyBorder="1" applyAlignment="1">
      <alignment horizontal="center" vertical="center" wrapText="1"/>
    </xf>
    <xf numFmtId="43" fontId="12" fillId="0" borderId="57" xfId="1" applyFont="1" applyBorder="1" applyAlignment="1">
      <alignment horizontal="center" vertical="center" wrapText="1"/>
    </xf>
    <xf numFmtId="168" fontId="12" fillId="0" borderId="57" xfId="3" applyNumberFormat="1" applyFont="1" applyBorder="1" applyAlignment="1">
      <alignment horizontal="center" vertical="center"/>
    </xf>
    <xf numFmtId="0" fontId="12" fillId="0" borderId="57" xfId="0" applyFont="1" applyBorder="1" applyAlignment="1">
      <alignment horizontal="left" vertical="center" wrapText="1"/>
    </xf>
    <xf numFmtId="0" fontId="12" fillId="0" borderId="57" xfId="0" applyFont="1" applyBorder="1" applyAlignment="1">
      <alignment horizontal="right" vertical="center" wrapText="1"/>
    </xf>
    <xf numFmtId="2" fontId="12" fillId="0" borderId="57" xfId="0" applyNumberFormat="1" applyFont="1" applyBorder="1" applyAlignment="1">
      <alignment horizontal="left" vertical="center" wrapText="1"/>
    </xf>
    <xf numFmtId="44" fontId="12" fillId="0" borderId="57" xfId="3" applyFont="1" applyBorder="1" applyAlignment="1">
      <alignment horizontal="center" vertical="center"/>
    </xf>
    <xf numFmtId="44" fontId="12" fillId="0" borderId="57" xfId="3" applyFont="1" applyBorder="1" applyAlignment="1">
      <alignment horizontal="left" vertical="center" wrapText="1"/>
    </xf>
    <xf numFmtId="44" fontId="0" fillId="0" borderId="4" xfId="3" applyFont="1" applyBorder="1" applyAlignment="1" applyProtection="1">
      <alignment horizontal="center" vertical="center"/>
      <protection locked="0"/>
    </xf>
    <xf numFmtId="44" fontId="8" fillId="0" borderId="4" xfId="3" applyFont="1" applyBorder="1" applyAlignment="1" applyProtection="1">
      <alignment horizontal="center" vertical="center" wrapText="1"/>
      <protection locked="0"/>
    </xf>
    <xf numFmtId="44" fontId="9" fillId="0" borderId="4" xfId="3" applyFont="1" applyBorder="1" applyAlignment="1" applyProtection="1">
      <alignment horizontal="center" vertical="center"/>
      <protection locked="0"/>
    </xf>
    <xf numFmtId="44" fontId="5" fillId="0" borderId="4" xfId="3" applyFont="1" applyFill="1" applyBorder="1" applyAlignment="1" applyProtection="1">
      <alignment horizontal="center" vertical="center" wrapText="1"/>
      <protection locked="0"/>
    </xf>
    <xf numFmtId="44" fontId="13" fillId="6" borderId="4" xfId="3" applyFont="1" applyFill="1" applyBorder="1" applyAlignment="1" applyProtection="1">
      <alignment horizontal="center" vertical="center"/>
      <protection locked="0"/>
    </xf>
    <xf numFmtId="44" fontId="8" fillId="0" borderId="4" xfId="3" applyFont="1" applyBorder="1" applyAlignment="1" applyProtection="1">
      <alignment horizontal="center" vertical="center"/>
      <protection locked="0"/>
    </xf>
    <xf numFmtId="44" fontId="1" fillId="7" borderId="4" xfId="3" applyFont="1" applyFill="1" applyBorder="1" applyAlignment="1">
      <alignment horizontal="center" vertical="center"/>
    </xf>
    <xf numFmtId="0" fontId="42" fillId="0" borderId="42" xfId="0" applyFont="1" applyBorder="1" applyAlignment="1">
      <alignment horizontal="left" vertical="center" wrapText="1"/>
    </xf>
    <xf numFmtId="0" fontId="42" fillId="0" borderId="55" xfId="0" applyFont="1" applyBorder="1" applyAlignment="1">
      <alignment horizontal="left" vertical="center" wrapText="1"/>
    </xf>
    <xf numFmtId="0" fontId="42" fillId="0" borderId="56" xfId="0" applyFont="1" applyBorder="1" applyAlignment="1">
      <alignment horizontal="left" vertical="center" wrapText="1"/>
    </xf>
    <xf numFmtId="0" fontId="42" fillId="0" borderId="52" xfId="0" applyFont="1" applyBorder="1" applyAlignment="1">
      <alignment horizontal="left" vertical="center" wrapText="1"/>
    </xf>
    <xf numFmtId="0" fontId="42" fillId="0" borderId="53" xfId="0" applyFont="1" applyBorder="1" applyAlignment="1">
      <alignment horizontal="left" vertical="center" wrapText="1"/>
    </xf>
    <xf numFmtId="0" fontId="42" fillId="0" borderId="54" xfId="0" applyFont="1" applyBorder="1" applyAlignment="1">
      <alignment horizontal="left" vertical="center" wrapText="1"/>
    </xf>
    <xf numFmtId="0" fontId="12" fillId="0" borderId="2" xfId="0" applyFont="1" applyBorder="1" applyAlignment="1">
      <alignment horizontal="center"/>
    </xf>
    <xf numFmtId="0" fontId="12" fillId="0" borderId="1" xfId="0" applyFont="1" applyBorder="1" applyAlignment="1">
      <alignment horizontal="center"/>
    </xf>
    <xf numFmtId="0" fontId="42" fillId="0" borderId="40" xfId="0" applyFont="1" applyBorder="1" applyAlignment="1">
      <alignment horizontal="left" vertical="center" wrapText="1"/>
    </xf>
    <xf numFmtId="0" fontId="42" fillId="0" borderId="0" xfId="0" applyFont="1" applyAlignment="1">
      <alignment horizontal="left" vertical="center" wrapText="1"/>
    </xf>
    <xf numFmtId="0" fontId="42" fillId="0" borderId="39" xfId="0" applyFont="1" applyBorder="1" applyAlignment="1">
      <alignment horizontal="left" vertical="center" wrapText="1"/>
    </xf>
    <xf numFmtId="0" fontId="12" fillId="0" borderId="1" xfId="0" applyFont="1" applyBorder="1" applyAlignment="1">
      <alignment horizontal="center" wrapText="1"/>
    </xf>
    <xf numFmtId="0" fontId="12" fillId="0" borderId="2" xfId="0" applyFont="1" applyBorder="1" applyAlignment="1">
      <alignment horizontal="center" wrapText="1"/>
    </xf>
    <xf numFmtId="0" fontId="42" fillId="0" borderId="40" xfId="0" applyFont="1" applyBorder="1" applyAlignment="1">
      <alignment horizontal="left" vertical="center"/>
    </xf>
    <xf numFmtId="0" fontId="42" fillId="0" borderId="55" xfId="0" applyFont="1" applyBorder="1" applyAlignment="1">
      <alignment horizontal="left" vertical="center"/>
    </xf>
    <xf numFmtId="0" fontId="42" fillId="0" borderId="0" xfId="0" applyFont="1" applyAlignment="1">
      <alignment horizontal="left" vertical="center"/>
    </xf>
    <xf numFmtId="0" fontId="42" fillId="0" borderId="54" xfId="0" applyFont="1" applyBorder="1" applyAlignment="1">
      <alignment horizontal="left" vertical="center"/>
    </xf>
    <xf numFmtId="0" fontId="42" fillId="0" borderId="39" xfId="0" applyFont="1" applyBorder="1" applyAlignment="1">
      <alignment horizontal="left" vertical="center"/>
    </xf>
    <xf numFmtId="0" fontId="42" fillId="0" borderId="52" xfId="0" applyFont="1" applyBorder="1" applyAlignment="1">
      <alignment horizontal="left" vertical="center"/>
    </xf>
    <xf numFmtId="0" fontId="42" fillId="0" borderId="42" xfId="0" applyFont="1" applyBorder="1" applyAlignment="1">
      <alignment horizontal="center" vertical="center"/>
    </xf>
    <xf numFmtId="0" fontId="42" fillId="0" borderId="40" xfId="0" applyFont="1" applyBorder="1" applyAlignment="1">
      <alignment horizontal="center" vertical="center"/>
    </xf>
    <xf numFmtId="0" fontId="42" fillId="0" borderId="56" xfId="0" applyFont="1" applyBorder="1" applyAlignment="1">
      <alignment horizontal="center" vertical="center"/>
    </xf>
    <xf numFmtId="0" fontId="42" fillId="0" borderId="39" xfId="0" applyFont="1" applyBorder="1" applyAlignment="1">
      <alignment horizontal="center" vertical="center"/>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42" fillId="0" borderId="42" xfId="0" applyFont="1" applyBorder="1" applyAlignment="1">
      <alignment horizontal="center" vertical="center" wrapText="1"/>
    </xf>
    <xf numFmtId="0" fontId="42" fillId="0" borderId="55" xfId="0" applyFont="1" applyBorder="1" applyAlignment="1">
      <alignment horizontal="center" vertical="center" wrapText="1"/>
    </xf>
    <xf numFmtId="0" fontId="42" fillId="0" borderId="56" xfId="0" applyFont="1" applyBorder="1" applyAlignment="1">
      <alignment horizontal="center" vertical="center" wrapText="1"/>
    </xf>
    <xf numFmtId="0" fontId="42" fillId="0" borderId="52" xfId="0" applyFont="1" applyBorder="1" applyAlignment="1">
      <alignment horizontal="center" vertical="center" wrapText="1"/>
    </xf>
    <xf numFmtId="0" fontId="48" fillId="0" borderId="0" xfId="0" applyFont="1" applyAlignment="1" applyProtection="1">
      <alignment horizontal="center" vertical="center"/>
      <protection locked="0"/>
    </xf>
    <xf numFmtId="0" fontId="0" fillId="6" borderId="5" xfId="0" applyFill="1" applyBorder="1" applyAlignment="1">
      <alignment horizontal="center"/>
    </xf>
    <xf numFmtId="0" fontId="0" fillId="6" borderId="35" xfId="0" applyFill="1" applyBorder="1" applyAlignment="1">
      <alignment horizontal="center"/>
    </xf>
    <xf numFmtId="0" fontId="0" fillId="6" borderId="18" xfId="0" applyFill="1" applyBorder="1" applyAlignment="1">
      <alignment horizontal="center"/>
    </xf>
    <xf numFmtId="0" fontId="43" fillId="11" borderId="37" xfId="0" applyFont="1" applyFill="1" applyBorder="1" applyAlignment="1">
      <alignment horizontal="left" vertical="center"/>
    </xf>
    <xf numFmtId="0" fontId="43" fillId="11" borderId="22" xfId="0" applyFont="1" applyFill="1" applyBorder="1" applyAlignment="1">
      <alignment horizontal="left" vertical="center"/>
    </xf>
    <xf numFmtId="0" fontId="43" fillId="11" borderId="5" xfId="0" applyFont="1" applyFill="1" applyBorder="1" applyAlignment="1">
      <alignment horizontal="left" vertical="center" wrapText="1"/>
    </xf>
    <xf numFmtId="0" fontId="43" fillId="11" borderId="58" xfId="0" applyFont="1" applyFill="1" applyBorder="1" applyAlignment="1">
      <alignment horizontal="left" vertical="center" wrapText="1"/>
    </xf>
    <xf numFmtId="0" fontId="43" fillId="11" borderId="5" xfId="0" applyFont="1" applyFill="1" applyBorder="1" applyAlignment="1">
      <alignment horizontal="left"/>
    </xf>
    <xf numFmtId="0" fontId="43" fillId="11" borderId="58" xfId="0" applyFont="1" applyFill="1" applyBorder="1" applyAlignment="1">
      <alignment horizontal="left"/>
    </xf>
    <xf numFmtId="0" fontId="44" fillId="11" borderId="5" xfId="0" applyFont="1" applyFill="1" applyBorder="1" applyAlignment="1">
      <alignment horizontal="left"/>
    </xf>
    <xf numFmtId="0" fontId="44" fillId="11" borderId="58" xfId="0" applyFont="1" applyFill="1" applyBorder="1" applyAlignment="1">
      <alignment horizontal="left"/>
    </xf>
    <xf numFmtId="0" fontId="43" fillId="13" borderId="37" xfId="0" applyFont="1" applyFill="1" applyBorder="1" applyAlignment="1">
      <alignment horizontal="center" vertical="center" wrapText="1"/>
    </xf>
    <xf numFmtId="0" fontId="43" fillId="13" borderId="6" xfId="0" applyFont="1" applyFill="1" applyBorder="1" applyAlignment="1">
      <alignment horizontal="center" vertical="center" wrapText="1"/>
    </xf>
    <xf numFmtId="0" fontId="11" fillId="0" borderId="32" xfId="4" applyFont="1" applyBorder="1" applyAlignment="1">
      <alignment horizontal="left" vertical="center" wrapText="1"/>
    </xf>
    <xf numFmtId="0" fontId="11" fillId="0" borderId="2" xfId="4" applyFont="1" applyBorder="1" applyAlignment="1">
      <alignment horizontal="left" vertical="center" wrapText="1"/>
    </xf>
    <xf numFmtId="0" fontId="11" fillId="0" borderId="47" xfId="4" applyFont="1" applyBorder="1" applyAlignment="1">
      <alignment horizontal="left" vertical="center" wrapText="1"/>
    </xf>
    <xf numFmtId="44" fontId="37" fillId="0" borderId="32" xfId="4" applyNumberFormat="1" applyFont="1" applyBorder="1" applyAlignment="1">
      <alignment horizontal="center" vertical="center"/>
    </xf>
    <xf numFmtId="44" fontId="37" fillId="0" borderId="47" xfId="4" applyNumberFormat="1" applyFont="1" applyBorder="1" applyAlignment="1">
      <alignment horizontal="center" vertical="center"/>
    </xf>
    <xf numFmtId="0" fontId="38" fillId="10" borderId="5" xfId="0" applyFont="1" applyFill="1" applyBorder="1" applyAlignment="1">
      <alignment horizontal="right" vertical="center"/>
    </xf>
    <xf numFmtId="0" fontId="38" fillId="10" borderId="6" xfId="0" applyFont="1" applyFill="1" applyBorder="1" applyAlignment="1">
      <alignment horizontal="right" vertical="center"/>
    </xf>
    <xf numFmtId="0" fontId="38" fillId="10" borderId="7" xfId="0" applyFont="1" applyFill="1" applyBorder="1" applyAlignment="1">
      <alignment horizontal="right" vertical="center"/>
    </xf>
    <xf numFmtId="0" fontId="30" fillId="0" borderId="44" xfId="4" applyFont="1" applyBorder="1" applyAlignment="1">
      <alignment horizontal="left" vertical="center"/>
    </xf>
    <xf numFmtId="0" fontId="30" fillId="0" borderId="8" xfId="4" applyFont="1" applyBorder="1" applyAlignment="1">
      <alignment horizontal="left" vertical="center"/>
    </xf>
    <xf numFmtId="0" fontId="30" fillId="0" borderId="45" xfId="4" applyFont="1" applyBorder="1" applyAlignment="1">
      <alignment horizontal="left" vertical="center"/>
    </xf>
    <xf numFmtId="0" fontId="35" fillId="0" borderId="44" xfId="4" applyFont="1" applyBorder="1" applyAlignment="1">
      <alignment horizontal="center" vertical="center" wrapText="1"/>
    </xf>
    <xf numFmtId="0" fontId="35" fillId="0" borderId="45" xfId="4" applyFont="1" applyBorder="1" applyAlignment="1">
      <alignment horizontal="center" vertical="center" wrapText="1"/>
    </xf>
    <xf numFmtId="0" fontId="23" fillId="0" borderId="3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34" xfId="0" applyFont="1" applyBorder="1" applyAlignment="1">
      <alignment horizontal="center" vertical="center" wrapText="1"/>
    </xf>
    <xf numFmtId="0" fontId="23" fillId="0" borderId="33"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37" xfId="0" applyFont="1" applyBorder="1" applyAlignment="1">
      <alignment horizontal="center" vertical="center" wrapText="1"/>
    </xf>
    <xf numFmtId="0" fontId="1" fillId="0" borderId="34" xfId="0" applyFont="1" applyBorder="1" applyAlignment="1">
      <alignment horizontal="center" wrapText="1"/>
    </xf>
    <xf numFmtId="0" fontId="1" fillId="0" borderId="33" xfId="0" applyFont="1" applyBorder="1" applyAlignment="1">
      <alignment horizontal="center" wrapText="1"/>
    </xf>
    <xf numFmtId="0" fontId="26" fillId="0" borderId="9" xfId="0" applyFont="1" applyBorder="1" applyAlignment="1">
      <alignment horizontal="center" vertical="center" wrapText="1"/>
    </xf>
    <xf numFmtId="0" fontId="26" fillId="0" borderId="28"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48" xfId="0" applyFont="1" applyBorder="1" applyAlignment="1">
      <alignment horizontal="center" vertical="center" wrapText="1"/>
    </xf>
    <xf numFmtId="0" fontId="1" fillId="0" borderId="37" xfId="0" applyFont="1" applyBorder="1" applyAlignment="1">
      <alignment horizontal="center" vertical="top" wrapText="1"/>
    </xf>
    <xf numFmtId="0" fontId="1" fillId="0" borderId="26" xfId="0" applyFont="1" applyBorder="1" applyAlignment="1">
      <alignment horizontal="center" vertical="top" wrapText="1"/>
    </xf>
    <xf numFmtId="44" fontId="27" fillId="9" borderId="21" xfId="3" applyFont="1" applyFill="1" applyBorder="1" applyAlignment="1" applyProtection="1">
      <alignment horizontal="left" vertical="center"/>
    </xf>
    <xf numFmtId="44" fontId="27" fillId="9" borderId="22" xfId="3" applyFont="1" applyFill="1" applyBorder="1" applyAlignment="1" applyProtection="1">
      <alignment horizontal="left" vertical="center"/>
    </xf>
    <xf numFmtId="44" fontId="27" fillId="9" borderId="37" xfId="3" applyFont="1" applyFill="1" applyBorder="1" applyAlignment="1" applyProtection="1">
      <alignment horizontal="center" vertical="center"/>
    </xf>
    <xf numFmtId="44" fontId="27" fillId="9" borderId="26" xfId="3" applyFont="1" applyFill="1" applyBorder="1" applyAlignment="1" applyProtection="1">
      <alignment horizontal="center" vertical="center"/>
    </xf>
    <xf numFmtId="44" fontId="27" fillId="9" borderId="38" xfId="3" applyFont="1" applyFill="1" applyBorder="1" applyAlignment="1" applyProtection="1">
      <alignment horizontal="center" vertical="center"/>
    </xf>
    <xf numFmtId="0" fontId="10" fillId="7" borderId="1" xfId="0" applyFont="1" applyFill="1" applyBorder="1" applyAlignment="1">
      <alignment horizontal="right" vertical="center"/>
    </xf>
    <xf numFmtId="0" fontId="10" fillId="7" borderId="2" xfId="0" applyFont="1" applyFill="1" applyBorder="1" applyAlignment="1">
      <alignment horizontal="right" vertical="center"/>
    </xf>
    <xf numFmtId="0" fontId="10" fillId="7" borderId="3" xfId="0" applyFont="1" applyFill="1" applyBorder="1" applyAlignment="1">
      <alignment horizontal="right" vertical="center"/>
    </xf>
    <xf numFmtId="0" fontId="30" fillId="9" borderId="42" xfId="4" applyFont="1" applyFill="1" applyBorder="1" applyAlignment="1">
      <alignment horizontal="center" vertical="center"/>
    </xf>
    <xf numFmtId="0" fontId="30" fillId="9" borderId="40" xfId="4" applyFont="1" applyFill="1" applyBorder="1" applyAlignment="1">
      <alignment horizontal="center" vertical="center"/>
    </xf>
    <xf numFmtId="0" fontId="30" fillId="9" borderId="55" xfId="4" applyFont="1" applyFill="1" applyBorder="1" applyAlignment="1">
      <alignment horizontal="center" vertical="center"/>
    </xf>
    <xf numFmtId="0" fontId="30" fillId="9" borderId="53" xfId="4" applyFont="1" applyFill="1" applyBorder="1" applyAlignment="1">
      <alignment horizontal="center" vertical="center"/>
    </xf>
    <xf numFmtId="0" fontId="30" fillId="9" borderId="0" xfId="4" applyFont="1" applyFill="1" applyAlignment="1">
      <alignment horizontal="center" vertical="center"/>
    </xf>
    <xf numFmtId="0" fontId="30" fillId="9" borderId="54" xfId="4" applyFont="1" applyFill="1" applyBorder="1" applyAlignment="1">
      <alignment horizontal="center" vertical="center"/>
    </xf>
    <xf numFmtId="44" fontId="27" fillId="8" borderId="36" xfId="3" applyFont="1" applyFill="1" applyBorder="1" applyAlignment="1" applyProtection="1">
      <alignment horizontal="left" vertical="center"/>
    </xf>
    <xf numFmtId="44" fontId="27" fillId="8" borderId="22" xfId="3" applyFont="1" applyFill="1" applyBorder="1" applyAlignment="1" applyProtection="1">
      <alignment horizontal="left" vertical="center"/>
    </xf>
    <xf numFmtId="44" fontId="27" fillId="8" borderId="37" xfId="3" applyFont="1" applyFill="1" applyBorder="1" applyAlignment="1" applyProtection="1">
      <alignment horizontal="center" vertical="center"/>
    </xf>
    <xf numFmtId="44" fontId="27" fillId="8" borderId="7" xfId="3" applyFont="1" applyFill="1" applyBorder="1" applyAlignment="1" applyProtection="1">
      <alignment horizontal="center" vertical="center"/>
    </xf>
    <xf numFmtId="44" fontId="27" fillId="8" borderId="5" xfId="3" applyFont="1" applyFill="1" applyBorder="1" applyAlignment="1" applyProtection="1">
      <alignment horizontal="center" vertical="center"/>
    </xf>
    <xf numFmtId="44" fontId="27" fillId="8" borderId="6" xfId="3" applyFont="1" applyFill="1" applyBorder="1" applyAlignment="1" applyProtection="1">
      <alignment horizontal="center" vertical="center"/>
    </xf>
    <xf numFmtId="0" fontId="25" fillId="0" borderId="35" xfId="0" applyFont="1" applyBorder="1" applyAlignment="1">
      <alignment horizontal="center" vertical="center" wrapText="1"/>
    </xf>
    <xf numFmtId="0" fontId="25" fillId="0" borderId="7" xfId="0" applyFont="1" applyBorder="1" applyAlignment="1">
      <alignment horizontal="center" vertical="center" wrapText="1"/>
    </xf>
    <xf numFmtId="0" fontId="26" fillId="0" borderId="16" xfId="0" applyFont="1" applyBorder="1" applyAlignment="1">
      <alignment horizontal="right" vertical="center" wrapText="1"/>
    </xf>
    <xf numFmtId="0" fontId="26" fillId="0" borderId="17" xfId="0" applyFont="1" applyBorder="1" applyAlignment="1">
      <alignment horizontal="right" vertical="center" wrapText="1"/>
    </xf>
    <xf numFmtId="44" fontId="27" fillId="8" borderId="21" xfId="3" applyFont="1" applyFill="1" applyBorder="1" applyAlignment="1" applyProtection="1">
      <alignment horizontal="left" vertical="center"/>
    </xf>
    <xf numFmtId="44" fontId="27" fillId="8" borderId="26" xfId="3" applyFont="1" applyFill="1" applyBorder="1" applyAlignment="1" applyProtection="1">
      <alignment horizontal="center" vertical="center"/>
    </xf>
    <xf numFmtId="44" fontId="27" fillId="8" borderId="38" xfId="3" applyFont="1" applyFill="1" applyBorder="1" applyAlignment="1" applyProtection="1">
      <alignment horizontal="center" vertical="center"/>
    </xf>
    <xf numFmtId="0" fontId="1" fillId="0" borderId="35" xfId="0" applyFont="1" applyBorder="1" applyAlignment="1">
      <alignment horizontal="center" vertical="top" wrapText="1"/>
    </xf>
    <xf numFmtId="0" fontId="1" fillId="0" borderId="7" xfId="0" applyFont="1" applyBorder="1" applyAlignment="1">
      <alignment horizontal="center" vertical="top" wrapText="1"/>
    </xf>
    <xf numFmtId="0" fontId="2" fillId="0" borderId="0" xfId="0" applyFont="1" applyAlignment="1">
      <alignment horizontal="left"/>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4" fillId="4" borderId="5" xfId="0" applyFont="1" applyFill="1" applyBorder="1" applyAlignment="1">
      <alignment horizontal="left"/>
    </xf>
    <xf numFmtId="0" fontId="14" fillId="4" borderId="6" xfId="0" applyFont="1" applyFill="1" applyBorder="1" applyAlignment="1">
      <alignment horizontal="left"/>
    </xf>
    <xf numFmtId="0" fontId="14" fillId="4" borderId="7" xfId="0" applyFont="1" applyFill="1" applyBorder="1" applyAlignment="1">
      <alignment horizontal="left"/>
    </xf>
    <xf numFmtId="0" fontId="7" fillId="4" borderId="5" xfId="0" applyFont="1" applyFill="1" applyBorder="1" applyAlignment="1">
      <alignment horizontal="left"/>
    </xf>
    <xf numFmtId="0" fontId="7" fillId="4" borderId="6" xfId="0" applyFont="1" applyFill="1" applyBorder="1" applyAlignment="1">
      <alignment horizontal="left"/>
    </xf>
    <xf numFmtId="0" fontId="7" fillId="4" borderId="7" xfId="0" applyFont="1" applyFill="1" applyBorder="1" applyAlignment="1">
      <alignment horizontal="left"/>
    </xf>
  </cellXfs>
  <cellStyles count="7">
    <cellStyle name="Comma" xfId="1" builtinId="3"/>
    <cellStyle name="Comma 3" xfId="2" xr:uid="{01836A5C-F05C-47E9-A349-F6435BE8ECE8}"/>
    <cellStyle name="Currency" xfId="3" builtinId="4"/>
    <cellStyle name="Normal" xfId="0" builtinId="0"/>
    <cellStyle name="Normal 2" xfId="4" xr:uid="{53D1616A-21AD-408A-8759-A8C6E3243564}"/>
    <cellStyle name="Normal 3" xfId="5" xr:uid="{7947F79E-CDF7-4476-BEF0-2A2606B9A73E}"/>
    <cellStyle name="Normal 3 2" xfId="6" xr:uid="{76438684-447F-4601-BD1C-13F4881C9E75}"/>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Medium2" defaultPivotStyle="PivotStyleLight16">
    <tableStyle name="TableStylePreset3_Accent1" pivot="0" count="7" xr9:uid="{505BBE91-196E-4E60-A662-0DEE7C3A3F70}">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3251E336-3307-42D8-9E6D-09F4C7C2310D}">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106613</xdr:colOff>
      <xdr:row>0</xdr:row>
      <xdr:rowOff>130849</xdr:rowOff>
    </xdr:from>
    <xdr:to>
      <xdr:col>0</xdr:col>
      <xdr:colOff>815340</xdr:colOff>
      <xdr:row>0</xdr:row>
      <xdr:rowOff>510540</xdr:rowOff>
    </xdr:to>
    <xdr:pic>
      <xdr:nvPicPr>
        <xdr:cNvPr id="2" name="Graphic 1">
          <a:extLst>
            <a:ext uri="{FF2B5EF4-FFF2-40B4-BE49-F238E27FC236}">
              <a16:creationId xmlns:a16="http://schemas.microsoft.com/office/drawing/2014/main" id="{09B1C530-5959-4E4E-821F-F6FD844608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6613" y="130849"/>
          <a:ext cx="708727" cy="379691"/>
        </a:xfrm>
        <a:prstGeom prst="rect">
          <a:avLst/>
        </a:prstGeom>
      </xdr:spPr>
    </xdr:pic>
    <xdr:clientData/>
  </xdr:twoCellAnchor>
  <xdr:oneCellAnchor>
    <xdr:from>
      <xdr:col>1</xdr:col>
      <xdr:colOff>3709939</xdr:colOff>
      <xdr:row>0</xdr:row>
      <xdr:rowOff>84667</xdr:rowOff>
    </xdr:from>
    <xdr:ext cx="1416050" cy="365075"/>
    <xdr:pic>
      <xdr:nvPicPr>
        <xdr:cNvPr id="4" name="Picture 3">
          <a:extLst>
            <a:ext uri="{FF2B5EF4-FFF2-40B4-BE49-F238E27FC236}">
              <a16:creationId xmlns:a16="http://schemas.microsoft.com/office/drawing/2014/main" id="{098C90A1-F2D0-45BF-A91A-19B0F9FE765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4564303" y="84667"/>
          <a:ext cx="1416050" cy="3650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156673</xdr:colOff>
      <xdr:row>0</xdr:row>
      <xdr:rowOff>64094</xdr:rowOff>
    </xdr:from>
    <xdr:ext cx="1416050" cy="365075"/>
    <xdr:pic>
      <xdr:nvPicPr>
        <xdr:cNvPr id="2" name="Picture 1">
          <a:extLst>
            <a:ext uri="{FF2B5EF4-FFF2-40B4-BE49-F238E27FC236}">
              <a16:creationId xmlns:a16="http://schemas.microsoft.com/office/drawing/2014/main" id="{9018EAEB-EBFF-45F5-8BD7-5666BBED3C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04033" y="64094"/>
          <a:ext cx="1416050" cy="36507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4</xdr:col>
      <xdr:colOff>156673</xdr:colOff>
      <xdr:row>0</xdr:row>
      <xdr:rowOff>64094</xdr:rowOff>
    </xdr:from>
    <xdr:ext cx="1416050" cy="365075"/>
    <xdr:pic>
      <xdr:nvPicPr>
        <xdr:cNvPr id="2" name="Picture 1">
          <a:extLst>
            <a:ext uri="{FF2B5EF4-FFF2-40B4-BE49-F238E27FC236}">
              <a16:creationId xmlns:a16="http://schemas.microsoft.com/office/drawing/2014/main" id="{E415F746-F351-4779-BC8C-D4F94D6CB5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04033" y="64094"/>
          <a:ext cx="1416050" cy="36507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4</xdr:col>
      <xdr:colOff>150171</xdr:colOff>
      <xdr:row>0</xdr:row>
      <xdr:rowOff>27182</xdr:rowOff>
    </xdr:from>
    <xdr:ext cx="1416050" cy="365075"/>
    <xdr:pic>
      <xdr:nvPicPr>
        <xdr:cNvPr id="3" name="Picture 2">
          <a:extLst>
            <a:ext uri="{FF2B5EF4-FFF2-40B4-BE49-F238E27FC236}">
              <a16:creationId xmlns:a16="http://schemas.microsoft.com/office/drawing/2014/main" id="{D0BE7D9F-3516-4CAA-ADB9-9A91B4C4A3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262213" y="27182"/>
          <a:ext cx="1416050" cy="36507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150171</xdr:colOff>
      <xdr:row>0</xdr:row>
      <xdr:rowOff>27182</xdr:rowOff>
    </xdr:from>
    <xdr:ext cx="1416050" cy="365075"/>
    <xdr:pic>
      <xdr:nvPicPr>
        <xdr:cNvPr id="3" name="Picture 2">
          <a:extLst>
            <a:ext uri="{FF2B5EF4-FFF2-40B4-BE49-F238E27FC236}">
              <a16:creationId xmlns:a16="http://schemas.microsoft.com/office/drawing/2014/main" id="{69649E5B-C205-458E-B0DC-7246FFB409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261411" y="27182"/>
          <a:ext cx="1416050" cy="36507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4</xdr:col>
      <xdr:colOff>262466</xdr:colOff>
      <xdr:row>0</xdr:row>
      <xdr:rowOff>211666</xdr:rowOff>
    </xdr:from>
    <xdr:ext cx="1416050" cy="365075"/>
    <xdr:pic>
      <xdr:nvPicPr>
        <xdr:cNvPr id="2" name="Picture 1">
          <a:extLst>
            <a:ext uri="{FF2B5EF4-FFF2-40B4-BE49-F238E27FC236}">
              <a16:creationId xmlns:a16="http://schemas.microsoft.com/office/drawing/2014/main" id="{A99F0339-8E57-4A5C-82C8-C05E94FBA8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324599" y="211666"/>
          <a:ext cx="1416050" cy="36507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D89AB-8AEA-4F4E-B9AE-02A7AFB45A7D}">
  <dimension ref="A1:C88"/>
  <sheetViews>
    <sheetView view="pageBreakPreview" zoomScale="96" zoomScaleNormal="100" zoomScaleSheetLayoutView="96" workbookViewId="0">
      <selection activeCell="F36" sqref="F36"/>
    </sheetView>
  </sheetViews>
  <sheetFormatPr defaultRowHeight="14.5" x14ac:dyDescent="0.35"/>
  <cols>
    <col min="1" max="1" width="8.90625" style="208"/>
    <col min="2" max="2" width="21.90625" style="208" customWidth="1"/>
    <col min="3" max="3" width="95.90625" customWidth="1"/>
  </cols>
  <sheetData>
    <row r="1" spans="1:3" x14ac:dyDescent="0.35">
      <c r="A1" s="258" t="s">
        <v>0</v>
      </c>
      <c r="B1" s="259"/>
      <c r="C1" s="259"/>
    </row>
    <row r="2" spans="1:3" x14ac:dyDescent="0.35">
      <c r="A2" s="260"/>
      <c r="B2" s="261"/>
      <c r="C2" s="261"/>
    </row>
    <row r="3" spans="1:3" x14ac:dyDescent="0.35">
      <c r="A3" s="262" t="s">
        <v>1</v>
      </c>
      <c r="B3" s="263"/>
      <c r="C3" s="263"/>
    </row>
    <row r="4" spans="1:3" x14ac:dyDescent="0.35">
      <c r="A4" s="264" t="s">
        <v>2</v>
      </c>
      <c r="B4" s="265"/>
      <c r="C4" s="264" t="s">
        <v>3</v>
      </c>
    </row>
    <row r="5" spans="1:3" x14ac:dyDescent="0.35">
      <c r="A5" s="266"/>
      <c r="B5" s="267"/>
      <c r="C5" s="266"/>
    </row>
    <row r="6" spans="1:3" ht="42" x14ac:dyDescent="0.35">
      <c r="A6" s="239" t="s">
        <v>4</v>
      </c>
      <c r="B6" s="247"/>
      <c r="C6" s="196" t="s">
        <v>5</v>
      </c>
    </row>
    <row r="7" spans="1:3" ht="28" x14ac:dyDescent="0.35">
      <c r="A7" s="243"/>
      <c r="B7" s="248"/>
      <c r="C7" s="196" t="s">
        <v>6</v>
      </c>
    </row>
    <row r="8" spans="1:3" ht="28" x14ac:dyDescent="0.35">
      <c r="A8" s="243"/>
      <c r="B8" s="248"/>
      <c r="C8" s="196" t="s">
        <v>7</v>
      </c>
    </row>
    <row r="9" spans="1:3" ht="42" x14ac:dyDescent="0.35">
      <c r="A9" s="243"/>
      <c r="B9" s="248"/>
      <c r="C9" s="196" t="s">
        <v>8</v>
      </c>
    </row>
    <row r="10" spans="1:3" ht="56" x14ac:dyDescent="0.35">
      <c r="A10" s="243"/>
      <c r="B10" s="248"/>
      <c r="C10" s="196" t="s">
        <v>9</v>
      </c>
    </row>
    <row r="11" spans="1:3" ht="42" x14ac:dyDescent="0.35">
      <c r="A11" s="243"/>
      <c r="B11" s="248"/>
      <c r="C11" s="196" t="s">
        <v>10</v>
      </c>
    </row>
    <row r="12" spans="1:3" ht="28" x14ac:dyDescent="0.35">
      <c r="A12" s="243"/>
      <c r="B12" s="248"/>
      <c r="C12" s="196" t="s">
        <v>11</v>
      </c>
    </row>
    <row r="13" spans="1:3" ht="42" x14ac:dyDescent="0.35">
      <c r="A13" s="241"/>
      <c r="B13" s="249"/>
      <c r="C13" s="196" t="s">
        <v>12</v>
      </c>
    </row>
    <row r="14" spans="1:3" x14ac:dyDescent="0.35">
      <c r="A14" s="262"/>
      <c r="B14" s="263"/>
      <c r="C14" s="263"/>
    </row>
    <row r="15" spans="1:3" ht="28" x14ac:dyDescent="0.35">
      <c r="A15" s="239" t="s">
        <v>13</v>
      </c>
      <c r="B15" s="240"/>
      <c r="C15" s="197" t="s">
        <v>14</v>
      </c>
    </row>
    <row r="16" spans="1:3" ht="42" x14ac:dyDescent="0.35">
      <c r="A16" s="243"/>
      <c r="B16" s="244"/>
      <c r="C16" s="198" t="s">
        <v>15</v>
      </c>
    </row>
    <row r="17" spans="1:3" x14ac:dyDescent="0.35">
      <c r="A17" s="243"/>
      <c r="B17" s="244"/>
      <c r="C17" s="199"/>
    </row>
    <row r="18" spans="1:3" x14ac:dyDescent="0.35">
      <c r="A18" s="241"/>
      <c r="B18" s="242"/>
      <c r="C18" s="200"/>
    </row>
    <row r="19" spans="1:3" x14ac:dyDescent="0.35">
      <c r="A19" s="246"/>
      <c r="B19" s="245"/>
      <c r="C19" s="245"/>
    </row>
    <row r="20" spans="1:3" x14ac:dyDescent="0.35">
      <c r="A20" s="239" t="s">
        <v>16</v>
      </c>
      <c r="B20" s="240"/>
      <c r="C20" s="201" t="s">
        <v>17</v>
      </c>
    </row>
    <row r="21" spans="1:3" x14ac:dyDescent="0.35">
      <c r="A21" s="243"/>
      <c r="B21" s="244"/>
      <c r="C21" s="202"/>
    </row>
    <row r="22" spans="1:3" x14ac:dyDescent="0.35">
      <c r="A22" s="243"/>
      <c r="B22" s="244"/>
      <c r="C22" s="198" t="s">
        <v>18</v>
      </c>
    </row>
    <row r="23" spans="1:3" x14ac:dyDescent="0.35">
      <c r="A23" s="241"/>
      <c r="B23" s="242"/>
      <c r="C23" s="200"/>
    </row>
    <row r="24" spans="1:3" x14ac:dyDescent="0.35">
      <c r="A24" s="250"/>
      <c r="B24" s="251"/>
      <c r="C24" s="251"/>
    </row>
    <row r="25" spans="1:3" x14ac:dyDescent="0.35">
      <c r="A25" s="239" t="s">
        <v>19</v>
      </c>
      <c r="B25" s="240"/>
      <c r="C25" s="197" t="s">
        <v>20</v>
      </c>
    </row>
    <row r="26" spans="1:3" x14ac:dyDescent="0.35">
      <c r="A26" s="243"/>
      <c r="B26" s="244"/>
      <c r="C26" s="197" t="s">
        <v>21</v>
      </c>
    </row>
    <row r="27" spans="1:3" ht="28" x14ac:dyDescent="0.35">
      <c r="A27" s="243"/>
      <c r="B27" s="244"/>
      <c r="C27" s="197" t="s">
        <v>22</v>
      </c>
    </row>
    <row r="28" spans="1:3" ht="28" x14ac:dyDescent="0.35">
      <c r="A28" s="243"/>
      <c r="B28" s="244"/>
      <c r="C28" s="203" t="s">
        <v>23</v>
      </c>
    </row>
    <row r="29" spans="1:3" x14ac:dyDescent="0.35">
      <c r="A29" s="241"/>
      <c r="B29" s="242"/>
      <c r="C29" s="204"/>
    </row>
    <row r="30" spans="1:3" x14ac:dyDescent="0.35">
      <c r="A30" s="246"/>
      <c r="B30" s="245"/>
      <c r="C30" s="245"/>
    </row>
    <row r="31" spans="1:3" x14ac:dyDescent="0.35">
      <c r="A31" s="239" t="s">
        <v>24</v>
      </c>
      <c r="B31" s="240"/>
      <c r="C31" s="198" t="s">
        <v>25</v>
      </c>
    </row>
    <row r="32" spans="1:3" x14ac:dyDescent="0.35">
      <c r="A32" s="243"/>
      <c r="B32" s="244"/>
      <c r="C32" s="200"/>
    </row>
    <row r="33" spans="1:3" ht="42" x14ac:dyDescent="0.35">
      <c r="A33" s="243"/>
      <c r="B33" s="244"/>
      <c r="C33" s="198" t="s">
        <v>26</v>
      </c>
    </row>
    <row r="34" spans="1:3" x14ac:dyDescent="0.35">
      <c r="A34" s="243"/>
      <c r="B34" s="244"/>
      <c r="C34" s="199"/>
    </row>
    <row r="35" spans="1:3" x14ac:dyDescent="0.35">
      <c r="A35" s="243"/>
      <c r="B35" s="244"/>
      <c r="C35" s="200"/>
    </row>
    <row r="36" spans="1:3" x14ac:dyDescent="0.35">
      <c r="A36" s="243"/>
      <c r="B36" s="244"/>
      <c r="C36" s="198" t="s">
        <v>27</v>
      </c>
    </row>
    <row r="37" spans="1:3" x14ac:dyDescent="0.35">
      <c r="A37" s="241"/>
      <c r="B37" s="242"/>
      <c r="C37" s="200" t="s">
        <v>28</v>
      </c>
    </row>
    <row r="38" spans="1:3" x14ac:dyDescent="0.35">
      <c r="A38" s="246"/>
      <c r="B38" s="245"/>
      <c r="C38" s="245"/>
    </row>
    <row r="39" spans="1:3" x14ac:dyDescent="0.35">
      <c r="A39" s="239" t="s">
        <v>29</v>
      </c>
      <c r="B39" s="240"/>
      <c r="C39" s="197" t="s">
        <v>30</v>
      </c>
    </row>
    <row r="40" spans="1:3" x14ac:dyDescent="0.35">
      <c r="A40" s="243"/>
      <c r="B40" s="244"/>
      <c r="C40" s="197" t="s">
        <v>31</v>
      </c>
    </row>
    <row r="41" spans="1:3" x14ac:dyDescent="0.35">
      <c r="A41" s="241"/>
      <c r="B41" s="242"/>
      <c r="C41" s="197" t="s">
        <v>32</v>
      </c>
    </row>
    <row r="42" spans="1:3" x14ac:dyDescent="0.35">
      <c r="A42" s="246"/>
      <c r="B42" s="245"/>
      <c r="C42" s="245"/>
    </row>
    <row r="43" spans="1:3" ht="28" x14ac:dyDescent="0.35">
      <c r="A43" s="252" t="s">
        <v>33</v>
      </c>
      <c r="B43" s="253"/>
      <c r="C43" s="197" t="s">
        <v>34</v>
      </c>
    </row>
    <row r="44" spans="1:3" ht="28" x14ac:dyDescent="0.35">
      <c r="A44" s="254"/>
      <c r="B44" s="255"/>
      <c r="C44" s="197" t="s">
        <v>35</v>
      </c>
    </row>
    <row r="45" spans="1:3" x14ac:dyDescent="0.35">
      <c r="A45" s="254"/>
      <c r="B45" s="255"/>
      <c r="C45" s="197" t="s">
        <v>36</v>
      </c>
    </row>
    <row r="46" spans="1:3" x14ac:dyDescent="0.35">
      <c r="A46" s="256"/>
      <c r="B46" s="257"/>
      <c r="C46" s="197" t="s">
        <v>37</v>
      </c>
    </row>
    <row r="47" spans="1:3" x14ac:dyDescent="0.35">
      <c r="A47" s="246"/>
      <c r="B47" s="245"/>
      <c r="C47" s="245"/>
    </row>
    <row r="48" spans="1:3" ht="28" x14ac:dyDescent="0.35">
      <c r="A48" s="239" t="s">
        <v>38</v>
      </c>
      <c r="B48" s="240"/>
      <c r="C48" s="198" t="s">
        <v>39</v>
      </c>
    </row>
    <row r="49" spans="1:3" x14ac:dyDescent="0.35">
      <c r="A49" s="243"/>
      <c r="B49" s="244"/>
      <c r="C49" s="200"/>
    </row>
    <row r="50" spans="1:3" ht="28" x14ac:dyDescent="0.35">
      <c r="A50" s="243"/>
      <c r="B50" s="244"/>
      <c r="C50" s="197" t="s">
        <v>40</v>
      </c>
    </row>
    <row r="51" spans="1:3" ht="28" x14ac:dyDescent="0.35">
      <c r="A51" s="241"/>
      <c r="B51" s="242"/>
      <c r="C51" s="197" t="s">
        <v>41</v>
      </c>
    </row>
    <row r="52" spans="1:3" x14ac:dyDescent="0.35">
      <c r="A52" s="246"/>
      <c r="B52" s="245"/>
      <c r="C52" s="245"/>
    </row>
    <row r="53" spans="1:3" x14ac:dyDescent="0.35">
      <c r="A53" s="252" t="s">
        <v>42</v>
      </c>
      <c r="B53" s="253"/>
      <c r="C53" s="198" t="s">
        <v>43</v>
      </c>
    </row>
    <row r="54" spans="1:3" x14ac:dyDescent="0.35">
      <c r="A54" s="254"/>
      <c r="B54" s="255"/>
      <c r="C54" s="200"/>
    </row>
    <row r="55" spans="1:3" ht="28" x14ac:dyDescent="0.35">
      <c r="A55" s="254"/>
      <c r="B55" s="255"/>
      <c r="C55" s="198" t="s">
        <v>44</v>
      </c>
    </row>
    <row r="56" spans="1:3" x14ac:dyDescent="0.35">
      <c r="A56" s="254"/>
      <c r="B56" s="255"/>
      <c r="C56" s="200"/>
    </row>
    <row r="57" spans="1:3" ht="28" x14ac:dyDescent="0.35">
      <c r="A57" s="254"/>
      <c r="B57" s="255"/>
      <c r="C57" s="198" t="s">
        <v>45</v>
      </c>
    </row>
    <row r="58" spans="1:3" x14ac:dyDescent="0.35">
      <c r="A58" s="254"/>
      <c r="B58" s="255"/>
      <c r="C58" s="200"/>
    </row>
    <row r="59" spans="1:3" x14ac:dyDescent="0.35">
      <c r="A59" s="254"/>
      <c r="B59" s="255"/>
      <c r="C59" s="198" t="s">
        <v>46</v>
      </c>
    </row>
    <row r="60" spans="1:3" x14ac:dyDescent="0.35">
      <c r="A60" s="254"/>
      <c r="B60" s="255"/>
      <c r="C60" s="200"/>
    </row>
    <row r="61" spans="1:3" ht="28" x14ac:dyDescent="0.35">
      <c r="A61" s="254"/>
      <c r="B61" s="255"/>
      <c r="C61" s="198" t="s">
        <v>47</v>
      </c>
    </row>
    <row r="62" spans="1:3" x14ac:dyDescent="0.35">
      <c r="A62" s="254"/>
      <c r="B62" s="255"/>
      <c r="C62" s="200"/>
    </row>
    <row r="63" spans="1:3" x14ac:dyDescent="0.35">
      <c r="A63" s="254"/>
      <c r="B63" s="255"/>
      <c r="C63" s="198" t="s">
        <v>48</v>
      </c>
    </row>
    <row r="64" spans="1:3" x14ac:dyDescent="0.35">
      <c r="A64" s="256"/>
      <c r="B64" s="257"/>
      <c r="C64" s="199"/>
    </row>
    <row r="65" spans="1:3" x14ac:dyDescent="0.35">
      <c r="A65" s="246"/>
      <c r="B65" s="245"/>
      <c r="C65" s="245"/>
    </row>
    <row r="66" spans="1:3" x14ac:dyDescent="0.35">
      <c r="A66" s="239" t="s">
        <v>49</v>
      </c>
      <c r="B66" s="240"/>
      <c r="C66" s="197" t="s">
        <v>50</v>
      </c>
    </row>
    <row r="67" spans="1:3" ht="28" x14ac:dyDescent="0.35">
      <c r="A67" s="243"/>
      <c r="B67" s="244"/>
      <c r="C67" s="198" t="s">
        <v>51</v>
      </c>
    </row>
    <row r="68" spans="1:3" x14ac:dyDescent="0.35">
      <c r="A68" s="241"/>
      <c r="B68" s="242"/>
      <c r="C68" s="200"/>
    </row>
    <row r="69" spans="1:3" x14ac:dyDescent="0.35">
      <c r="A69" s="250"/>
      <c r="B69" s="251"/>
      <c r="C69" s="251"/>
    </row>
    <row r="70" spans="1:3" ht="28" x14ac:dyDescent="0.35">
      <c r="A70" s="239" t="s">
        <v>52</v>
      </c>
      <c r="B70" s="240"/>
      <c r="C70" s="197" t="s">
        <v>53</v>
      </c>
    </row>
    <row r="71" spans="1:3" ht="28" x14ac:dyDescent="0.35">
      <c r="A71" s="243"/>
      <c r="B71" s="244"/>
      <c r="C71" s="197" t="s">
        <v>54</v>
      </c>
    </row>
    <row r="72" spans="1:3" ht="28" x14ac:dyDescent="0.35">
      <c r="A72" s="241"/>
      <c r="B72" s="242"/>
      <c r="C72" s="197" t="s">
        <v>55</v>
      </c>
    </row>
    <row r="73" spans="1:3" x14ac:dyDescent="0.35">
      <c r="A73" s="245"/>
      <c r="B73" s="245"/>
      <c r="C73" s="245"/>
    </row>
    <row r="74" spans="1:3" x14ac:dyDescent="0.35">
      <c r="A74" s="239" t="s">
        <v>56</v>
      </c>
      <c r="B74" s="240"/>
      <c r="C74" s="197" t="s">
        <v>57</v>
      </c>
    </row>
    <row r="75" spans="1:3" x14ac:dyDescent="0.35">
      <c r="A75" s="243"/>
      <c r="B75" s="244"/>
      <c r="C75" s="197" t="s">
        <v>58</v>
      </c>
    </row>
    <row r="76" spans="1:3" x14ac:dyDescent="0.35">
      <c r="A76" s="243"/>
      <c r="B76" s="244"/>
      <c r="C76" s="197" t="s">
        <v>59</v>
      </c>
    </row>
    <row r="77" spans="1:3" ht="28" x14ac:dyDescent="0.35">
      <c r="A77" s="243"/>
      <c r="B77" s="244"/>
      <c r="C77" s="197" t="s">
        <v>60</v>
      </c>
    </row>
    <row r="78" spans="1:3" x14ac:dyDescent="0.35">
      <c r="A78" s="243"/>
      <c r="B78" s="244"/>
      <c r="C78" s="197" t="s">
        <v>61</v>
      </c>
    </row>
    <row r="79" spans="1:3" ht="28" x14ac:dyDescent="0.35">
      <c r="A79" s="241"/>
      <c r="B79" s="242"/>
      <c r="C79" s="197" t="s">
        <v>62</v>
      </c>
    </row>
    <row r="80" spans="1:3" x14ac:dyDescent="0.35">
      <c r="A80" s="246"/>
      <c r="B80" s="245"/>
      <c r="C80" s="245"/>
    </row>
    <row r="81" spans="1:3" ht="28" x14ac:dyDescent="0.35">
      <c r="A81" s="247" t="s">
        <v>63</v>
      </c>
      <c r="B81" s="240"/>
      <c r="C81" s="197" t="s">
        <v>64</v>
      </c>
    </row>
    <row r="82" spans="1:3" x14ac:dyDescent="0.35">
      <c r="A82" s="248"/>
      <c r="B82" s="244"/>
      <c r="C82" s="197" t="s">
        <v>65</v>
      </c>
    </row>
    <row r="83" spans="1:3" ht="28" x14ac:dyDescent="0.35">
      <c r="A83" s="248"/>
      <c r="B83" s="244"/>
      <c r="C83" s="197" t="s">
        <v>66</v>
      </c>
    </row>
    <row r="84" spans="1:3" x14ac:dyDescent="0.35">
      <c r="A84" s="249"/>
      <c r="B84" s="242"/>
      <c r="C84" s="197" t="s">
        <v>67</v>
      </c>
    </row>
    <row r="85" spans="1:3" x14ac:dyDescent="0.35">
      <c r="A85" s="246"/>
      <c r="B85" s="245"/>
      <c r="C85" s="245"/>
    </row>
    <row r="86" spans="1:3" x14ac:dyDescent="0.35">
      <c r="A86" s="239" t="s">
        <v>68</v>
      </c>
      <c r="B86" s="240"/>
      <c r="C86" s="197" t="s">
        <v>69</v>
      </c>
    </row>
    <row r="87" spans="1:3" ht="28" x14ac:dyDescent="0.35">
      <c r="A87" s="241"/>
      <c r="B87" s="242"/>
      <c r="C87" s="197" t="s">
        <v>70</v>
      </c>
    </row>
    <row r="88" spans="1:3" x14ac:dyDescent="0.35">
      <c r="A88" s="205"/>
      <c r="B88" s="206"/>
      <c r="C88" s="207"/>
    </row>
  </sheetData>
  <mergeCells count="31">
    <mergeCell ref="A30:C30"/>
    <mergeCell ref="A1:C2"/>
    <mergeCell ref="A3:C3"/>
    <mergeCell ref="A4:B5"/>
    <mergeCell ref="C4:C5"/>
    <mergeCell ref="A6:B13"/>
    <mergeCell ref="A14:C14"/>
    <mergeCell ref="A15:B18"/>
    <mergeCell ref="A19:C19"/>
    <mergeCell ref="A20:B23"/>
    <mergeCell ref="A24:C24"/>
    <mergeCell ref="A25:B29"/>
    <mergeCell ref="A69:C69"/>
    <mergeCell ref="A31:B37"/>
    <mergeCell ref="A38:C38"/>
    <mergeCell ref="A39:B41"/>
    <mergeCell ref="A42:C42"/>
    <mergeCell ref="A43:B46"/>
    <mergeCell ref="A47:C47"/>
    <mergeCell ref="A48:B51"/>
    <mergeCell ref="A52:C52"/>
    <mergeCell ref="A53:B64"/>
    <mergeCell ref="A65:C65"/>
    <mergeCell ref="A66:B68"/>
    <mergeCell ref="A86:B87"/>
    <mergeCell ref="A70:B72"/>
    <mergeCell ref="A73:C73"/>
    <mergeCell ref="A74:B79"/>
    <mergeCell ref="A80:C80"/>
    <mergeCell ref="A81:B84"/>
    <mergeCell ref="A85:C85"/>
  </mergeCells>
  <pageMargins left="0.7" right="0.7" top="0.75" bottom="0.75" header="0.3" footer="0.3"/>
  <pageSetup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17735-F721-4F4E-A0B6-2BE499CD0B9E}">
  <dimension ref="A1:C13"/>
  <sheetViews>
    <sheetView view="pageBreakPreview" zoomScale="99" zoomScaleNormal="100" zoomScaleSheetLayoutView="99" workbookViewId="0">
      <selection activeCell="C17" sqref="C17"/>
    </sheetView>
  </sheetViews>
  <sheetFormatPr defaultRowHeight="14.5" x14ac:dyDescent="0.35"/>
  <cols>
    <col min="1" max="1" width="12.453125" customWidth="1"/>
    <col min="2" max="2" width="59.453125" customWidth="1"/>
    <col min="3" max="3" width="17" customWidth="1"/>
  </cols>
  <sheetData>
    <row r="1" spans="1:3" ht="48.65" customHeight="1" thickBot="1" x14ac:dyDescent="0.4">
      <c r="A1" s="269"/>
      <c r="B1" s="270"/>
      <c r="C1" s="271"/>
    </row>
    <row r="2" spans="1:3" ht="19" thickBot="1" x14ac:dyDescent="0.4">
      <c r="A2" s="272" t="s">
        <v>246</v>
      </c>
      <c r="B2" s="272"/>
      <c r="C2" s="273"/>
    </row>
    <row r="3" spans="1:3" ht="57.65" customHeight="1" thickBot="1" x14ac:dyDescent="0.4">
      <c r="A3" s="209" t="s">
        <v>71</v>
      </c>
      <c r="B3" s="274" t="s">
        <v>247</v>
      </c>
      <c r="C3" s="275"/>
    </row>
    <row r="4" spans="1:3" ht="19" thickBot="1" x14ac:dyDescent="0.6">
      <c r="A4" s="210" t="s">
        <v>72</v>
      </c>
      <c r="B4" s="276" t="s">
        <v>73</v>
      </c>
      <c r="C4" s="277"/>
    </row>
    <row r="5" spans="1:3" ht="19" thickBot="1" x14ac:dyDescent="0.6">
      <c r="A5" s="211" t="s">
        <v>74</v>
      </c>
      <c r="B5" s="278" t="s">
        <v>240</v>
      </c>
      <c r="C5" s="279"/>
    </row>
    <row r="6" spans="1:3" ht="19" thickBot="1" x14ac:dyDescent="0.4">
      <c r="A6" s="212" t="s">
        <v>75</v>
      </c>
      <c r="B6" s="213" t="s">
        <v>76</v>
      </c>
      <c r="C6" s="214" t="s">
        <v>77</v>
      </c>
    </row>
    <row r="7" spans="1:3" ht="19" thickTop="1" x14ac:dyDescent="0.35">
      <c r="A7" s="215">
        <v>1</v>
      </c>
      <c r="B7" s="216" t="s">
        <v>245</v>
      </c>
      <c r="C7" s="217">
        <f>'Ceel-Jaale PS'!E105</f>
        <v>0</v>
      </c>
    </row>
    <row r="8" spans="1:3" ht="19" thickBot="1" x14ac:dyDescent="0.4">
      <c r="A8" s="215">
        <v>2</v>
      </c>
      <c r="B8" s="216" t="s">
        <v>244</v>
      </c>
      <c r="C8" s="217">
        <f>'Hiran-Bile PS'!E105</f>
        <v>0</v>
      </c>
    </row>
    <row r="9" spans="1:3" ht="19" thickBot="1" x14ac:dyDescent="0.4">
      <c r="A9" s="280" t="s">
        <v>78</v>
      </c>
      <c r="B9" s="281"/>
      <c r="C9" s="218">
        <f>SUM(C7:C8)</f>
        <v>0</v>
      </c>
    </row>
    <row r="10" spans="1:3" x14ac:dyDescent="0.35">
      <c r="A10" s="219" t="s">
        <v>79</v>
      </c>
      <c r="B10" s="268"/>
      <c r="C10" s="268"/>
    </row>
    <row r="11" spans="1:3" x14ac:dyDescent="0.35">
      <c r="A11" s="219" t="s">
        <v>80</v>
      </c>
      <c r="B11" s="268"/>
      <c r="C11" s="268"/>
    </row>
    <row r="12" spans="1:3" x14ac:dyDescent="0.35">
      <c r="A12" s="219" t="s">
        <v>81</v>
      </c>
      <c r="B12" s="268"/>
      <c r="C12" s="268"/>
    </row>
    <row r="13" spans="1:3" x14ac:dyDescent="0.35">
      <c r="A13" s="219" t="s">
        <v>82</v>
      </c>
      <c r="B13" s="268"/>
      <c r="C13" s="268"/>
    </row>
  </sheetData>
  <mergeCells count="10">
    <mergeCell ref="B10:C10"/>
    <mergeCell ref="B11:C11"/>
    <mergeCell ref="B12:C12"/>
    <mergeCell ref="B13:C13"/>
    <mergeCell ref="A1:C1"/>
    <mergeCell ref="A2:C2"/>
    <mergeCell ref="B3:C3"/>
    <mergeCell ref="B4:C4"/>
    <mergeCell ref="B5:C5"/>
    <mergeCell ref="A9:B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0208B-6D59-4F41-9B08-2FF9D318E2A4}">
  <dimension ref="A1:Y117"/>
  <sheetViews>
    <sheetView tabSelected="1" workbookViewId="0">
      <selection activeCell="F35" sqref="F35"/>
    </sheetView>
  </sheetViews>
  <sheetFormatPr defaultRowHeight="14.5" x14ac:dyDescent="0.35"/>
  <cols>
    <col min="1" max="1" width="12.36328125" bestFit="1" customWidth="1"/>
    <col min="2" max="2" width="52.6328125" style="143" customWidth="1"/>
    <col min="3" max="3" width="5.54296875" style="5" bestFit="1" customWidth="1"/>
    <col min="4" max="4" width="10.36328125" style="90" bestFit="1" customWidth="1"/>
    <col min="5" max="5" width="11.453125" bestFit="1" customWidth="1"/>
    <col min="6" max="6" width="15.453125" customWidth="1"/>
  </cols>
  <sheetData>
    <row r="1" spans="1:6" ht="43.25" customHeight="1" thickBot="1" x14ac:dyDescent="0.4">
      <c r="A1" s="144" t="s">
        <v>83</v>
      </c>
      <c r="B1" s="295" t="s">
        <v>84</v>
      </c>
      <c r="C1" s="296"/>
      <c r="D1" s="297"/>
      <c r="E1" s="298"/>
      <c r="F1" s="299"/>
    </row>
    <row r="2" spans="1:6" x14ac:dyDescent="0.35">
      <c r="A2" s="300" t="s">
        <v>72</v>
      </c>
      <c r="B2" s="302" t="s">
        <v>85</v>
      </c>
      <c r="C2" s="303"/>
      <c r="D2" s="304" t="s">
        <v>86</v>
      </c>
      <c r="E2" s="305"/>
      <c r="F2" s="168" t="s">
        <v>235</v>
      </c>
    </row>
    <row r="3" spans="1:6" ht="15" thickBot="1" x14ac:dyDescent="0.4">
      <c r="A3" s="301"/>
      <c r="B3" s="308" t="s">
        <v>245</v>
      </c>
      <c r="C3" s="309"/>
      <c r="D3" s="306"/>
      <c r="E3" s="307"/>
      <c r="F3" s="169" t="s">
        <v>236</v>
      </c>
    </row>
    <row r="4" spans="1:6" ht="18.5" thickBot="1" x14ac:dyDescent="0.4">
      <c r="A4" s="310" t="s">
        <v>88</v>
      </c>
      <c r="B4" s="312" t="s">
        <v>89</v>
      </c>
      <c r="C4" s="313"/>
      <c r="D4" s="312" t="s">
        <v>90</v>
      </c>
      <c r="E4" s="314"/>
      <c r="F4" s="313"/>
    </row>
    <row r="5" spans="1:6" ht="15" thickBot="1" x14ac:dyDescent="0.4">
      <c r="A5" s="311"/>
      <c r="B5" s="146" t="s">
        <v>91</v>
      </c>
      <c r="C5" s="146" t="s">
        <v>92</v>
      </c>
      <c r="D5" s="147" t="s">
        <v>93</v>
      </c>
      <c r="E5" s="148" t="s">
        <v>94</v>
      </c>
      <c r="F5" s="149" t="s">
        <v>95</v>
      </c>
    </row>
    <row r="6" spans="1:6" ht="16" thickBot="1" x14ac:dyDescent="0.4">
      <c r="A6" s="162" t="s">
        <v>96</v>
      </c>
      <c r="B6" s="163" t="s">
        <v>239</v>
      </c>
      <c r="C6" s="164"/>
      <c r="D6" s="150"/>
      <c r="E6" s="171"/>
      <c r="F6" s="174"/>
    </row>
    <row r="7" spans="1:6" ht="28" x14ac:dyDescent="0.35">
      <c r="A7" s="175">
        <v>1</v>
      </c>
      <c r="B7" s="160" t="s">
        <v>97</v>
      </c>
      <c r="C7" s="156" t="s">
        <v>98</v>
      </c>
      <c r="D7" s="22">
        <f>(65*10)</f>
        <v>650</v>
      </c>
      <c r="E7" s="232"/>
      <c r="F7" s="45">
        <f>E7*D7</f>
        <v>0</v>
      </c>
    </row>
    <row r="8" spans="1:6" ht="42" x14ac:dyDescent="0.35">
      <c r="A8" s="21">
        <v>2</v>
      </c>
      <c r="B8" s="160" t="s">
        <v>99</v>
      </c>
      <c r="C8" s="156" t="s">
        <v>100</v>
      </c>
      <c r="D8" s="22">
        <f xml:space="preserve"> 35*(0.8*0.8*1.2)</f>
        <v>26.880000000000006</v>
      </c>
      <c r="E8" s="232"/>
      <c r="F8" s="45">
        <f>E8*D8</f>
        <v>0</v>
      </c>
    </row>
    <row r="9" spans="1:6" ht="56" x14ac:dyDescent="0.35">
      <c r="A9" s="21">
        <v>3</v>
      </c>
      <c r="B9" s="160" t="s">
        <v>101</v>
      </c>
      <c r="C9" s="156" t="s">
        <v>100</v>
      </c>
      <c r="D9" s="22">
        <f>(278.8*0.5*0.6)</f>
        <v>83.64</v>
      </c>
      <c r="E9" s="232"/>
      <c r="F9" s="45">
        <f t="shared" ref="F9:F33" si="0">E9*D9</f>
        <v>0</v>
      </c>
    </row>
    <row r="10" spans="1:6" ht="28" x14ac:dyDescent="0.35">
      <c r="A10" s="21">
        <v>4</v>
      </c>
      <c r="B10" s="160" t="s">
        <v>102</v>
      </c>
      <c r="C10" s="156" t="s">
        <v>100</v>
      </c>
      <c r="D10" s="22">
        <f>(278*0.5*0.05)+(35*0.8*0.8*0.05)</f>
        <v>8.07</v>
      </c>
      <c r="E10" s="232"/>
      <c r="F10" s="45">
        <f t="shared" si="0"/>
        <v>0</v>
      </c>
    </row>
    <row r="11" spans="1:6" ht="42" x14ac:dyDescent="0.35">
      <c r="A11" s="21">
        <v>5</v>
      </c>
      <c r="B11" s="160" t="s">
        <v>103</v>
      </c>
      <c r="C11" s="156" t="s">
        <v>100</v>
      </c>
      <c r="D11" s="22">
        <f>(278*0.4*0.9)</f>
        <v>100.08</v>
      </c>
      <c r="E11" s="232"/>
      <c r="F11" s="45">
        <f t="shared" si="0"/>
        <v>0</v>
      </c>
    </row>
    <row r="12" spans="1:6" ht="72.5" x14ac:dyDescent="0.35">
      <c r="A12" s="21">
        <v>6</v>
      </c>
      <c r="B12" s="160" t="s">
        <v>191</v>
      </c>
      <c r="C12" s="156" t="s">
        <v>100</v>
      </c>
      <c r="D12" s="23">
        <f>(278*0.4*0.2)</f>
        <v>22.240000000000002</v>
      </c>
      <c r="E12" s="233"/>
      <c r="F12" s="45">
        <f t="shared" si="0"/>
        <v>0</v>
      </c>
    </row>
    <row r="13" spans="1:6" ht="58" x14ac:dyDescent="0.35">
      <c r="A13" s="21">
        <v>7</v>
      </c>
      <c r="B13" s="187" t="s">
        <v>237</v>
      </c>
      <c r="C13" s="156" t="s">
        <v>100</v>
      </c>
      <c r="D13" s="23">
        <f>(35*0.7*0.7*0.3)</f>
        <v>5.1449999999999996</v>
      </c>
      <c r="E13" s="233"/>
      <c r="F13" s="45">
        <f t="shared" si="0"/>
        <v>0</v>
      </c>
    </row>
    <row r="14" spans="1:6" ht="58" x14ac:dyDescent="0.35">
      <c r="A14" s="21">
        <v>8</v>
      </c>
      <c r="B14" s="187" t="s">
        <v>238</v>
      </c>
      <c r="C14" s="156" t="s">
        <v>100</v>
      </c>
      <c r="D14" s="24">
        <f>(35*0.2*0.2*1)</f>
        <v>1.4000000000000001</v>
      </c>
      <c r="E14" s="234"/>
      <c r="F14" s="45">
        <f t="shared" si="0"/>
        <v>0</v>
      </c>
    </row>
    <row r="15" spans="1:6" ht="28" x14ac:dyDescent="0.35">
      <c r="A15" s="21">
        <v>9</v>
      </c>
      <c r="B15" s="160" t="s">
        <v>104</v>
      </c>
      <c r="C15" s="156" t="s">
        <v>100</v>
      </c>
      <c r="D15" s="25">
        <f>((64.4*10)-(278*0.4))*0.2</f>
        <v>106.56</v>
      </c>
      <c r="E15" s="232"/>
      <c r="F15" s="45">
        <f t="shared" si="0"/>
        <v>0</v>
      </c>
    </row>
    <row r="16" spans="1:6" ht="17" x14ac:dyDescent="0.35">
      <c r="A16" s="21">
        <v>10</v>
      </c>
      <c r="B16" s="160" t="s">
        <v>105</v>
      </c>
      <c r="C16" s="156" t="s">
        <v>100</v>
      </c>
      <c r="D16" s="25">
        <f>((64.4*10)-(278*0.4))*0.05</f>
        <v>26.64</v>
      </c>
      <c r="E16" s="232"/>
      <c r="F16" s="45">
        <f t="shared" si="0"/>
        <v>0</v>
      </c>
    </row>
    <row r="17" spans="1:6" ht="28" x14ac:dyDescent="0.35">
      <c r="A17" s="21">
        <v>11</v>
      </c>
      <c r="B17" s="160" t="s">
        <v>106</v>
      </c>
      <c r="C17" s="154" t="s">
        <v>98</v>
      </c>
      <c r="D17" s="26">
        <f>64.4*10</f>
        <v>644</v>
      </c>
      <c r="E17" s="233"/>
      <c r="F17" s="45">
        <f t="shared" si="0"/>
        <v>0</v>
      </c>
    </row>
    <row r="18" spans="1:6" ht="101.5" x14ac:dyDescent="0.35">
      <c r="A18" s="21">
        <v>12</v>
      </c>
      <c r="B18" s="160" t="s">
        <v>192</v>
      </c>
      <c r="C18" s="156" t="s">
        <v>100</v>
      </c>
      <c r="D18" s="24">
        <f>64.4*10*0.08</f>
        <v>51.52</v>
      </c>
      <c r="E18" s="232"/>
      <c r="F18" s="45">
        <f t="shared" si="0"/>
        <v>0</v>
      </c>
    </row>
    <row r="19" spans="1:6" ht="42" x14ac:dyDescent="0.35">
      <c r="A19" s="21">
        <v>13</v>
      </c>
      <c r="B19" s="160" t="s">
        <v>107</v>
      </c>
      <c r="C19" s="154" t="s">
        <v>98</v>
      </c>
      <c r="D19" s="26">
        <f>200*3-((1.2*1.2*5*8)+(2.2*1.2*8))</f>
        <v>521.28</v>
      </c>
      <c r="E19" s="232"/>
      <c r="F19" s="45">
        <f t="shared" si="0"/>
        <v>0</v>
      </c>
    </row>
    <row r="20" spans="1:6" ht="58" x14ac:dyDescent="0.35">
      <c r="A20" s="21">
        <v>14</v>
      </c>
      <c r="B20" s="160" t="s">
        <v>193</v>
      </c>
      <c r="C20" s="156" t="s">
        <v>100</v>
      </c>
      <c r="D20" s="24">
        <f>(1.75*0.2*0.15)*5*8</f>
        <v>2.1</v>
      </c>
      <c r="E20" s="234"/>
      <c r="F20" s="45">
        <f t="shared" si="0"/>
        <v>0</v>
      </c>
    </row>
    <row r="21" spans="1:6" ht="58" x14ac:dyDescent="0.35">
      <c r="A21" s="21">
        <v>15</v>
      </c>
      <c r="B21" s="160" t="s">
        <v>194</v>
      </c>
      <c r="C21" s="156" t="s">
        <v>100</v>
      </c>
      <c r="D21" s="24">
        <f>200*0.2*0.2</f>
        <v>8</v>
      </c>
      <c r="E21" s="234"/>
      <c r="F21" s="45">
        <f t="shared" si="0"/>
        <v>0</v>
      </c>
    </row>
    <row r="22" spans="1:6" ht="58" x14ac:dyDescent="0.35">
      <c r="A22" s="21">
        <v>16</v>
      </c>
      <c r="B22" s="160" t="s">
        <v>195</v>
      </c>
      <c r="C22" s="156" t="s">
        <v>100</v>
      </c>
      <c r="D22" s="25">
        <f>225*0.2*0.2</f>
        <v>9</v>
      </c>
      <c r="E22" s="232"/>
      <c r="F22" s="45">
        <f t="shared" si="0"/>
        <v>0</v>
      </c>
    </row>
    <row r="23" spans="1:6" ht="58" x14ac:dyDescent="0.35">
      <c r="A23" s="21">
        <v>17</v>
      </c>
      <c r="B23" s="160" t="s">
        <v>196</v>
      </c>
      <c r="C23" s="156" t="s">
        <v>100</v>
      </c>
      <c r="D23" s="25">
        <f>(0.2*0.2*3.8)*35</f>
        <v>5.3200000000000012</v>
      </c>
      <c r="E23" s="232"/>
      <c r="F23" s="45">
        <f t="shared" si="0"/>
        <v>0</v>
      </c>
    </row>
    <row r="24" spans="1:6" ht="84" x14ac:dyDescent="0.35">
      <c r="A24" s="21">
        <v>18</v>
      </c>
      <c r="B24" s="160" t="s">
        <v>108</v>
      </c>
      <c r="C24" s="154" t="s">
        <v>98</v>
      </c>
      <c r="D24" s="25">
        <f>64.4*10*1.5</f>
        <v>966</v>
      </c>
      <c r="E24" s="232"/>
      <c r="F24" s="45">
        <f t="shared" si="0"/>
        <v>0</v>
      </c>
    </row>
    <row r="25" spans="1:6" ht="42" x14ac:dyDescent="0.35">
      <c r="A25" s="21">
        <v>19</v>
      </c>
      <c r="B25" s="160" t="s">
        <v>109</v>
      </c>
      <c r="C25" s="156" t="s">
        <v>98</v>
      </c>
      <c r="D25" s="25">
        <f>9*64</f>
        <v>576</v>
      </c>
      <c r="E25" s="232"/>
      <c r="F25" s="45">
        <f t="shared" si="0"/>
        <v>0</v>
      </c>
    </row>
    <row r="26" spans="1:6" ht="42" x14ac:dyDescent="0.35">
      <c r="A26" s="21">
        <v>20</v>
      </c>
      <c r="B26" s="160" t="s">
        <v>110</v>
      </c>
      <c r="C26" s="2" t="s">
        <v>111</v>
      </c>
      <c r="D26" s="23">
        <v>1</v>
      </c>
      <c r="E26" s="233"/>
      <c r="F26" s="45">
        <f t="shared" si="0"/>
        <v>0</v>
      </c>
    </row>
    <row r="27" spans="1:6" ht="42" x14ac:dyDescent="0.35">
      <c r="A27" s="21">
        <v>21</v>
      </c>
      <c r="B27" s="160" t="s">
        <v>112</v>
      </c>
      <c r="C27" s="154" t="s">
        <v>98</v>
      </c>
      <c r="D27" s="27">
        <f>D19*2</f>
        <v>1042.56</v>
      </c>
      <c r="E27" s="235"/>
      <c r="F27" s="45">
        <f t="shared" si="0"/>
        <v>0</v>
      </c>
    </row>
    <row r="28" spans="1:6" ht="28" x14ac:dyDescent="0.35">
      <c r="A28" s="21">
        <v>22</v>
      </c>
      <c r="B28" s="160" t="s">
        <v>113</v>
      </c>
      <c r="C28" s="154" t="s">
        <v>98</v>
      </c>
      <c r="D28" s="27">
        <f>D27/2</f>
        <v>521.28</v>
      </c>
      <c r="E28" s="235"/>
      <c r="F28" s="45">
        <f t="shared" si="0"/>
        <v>0</v>
      </c>
    </row>
    <row r="29" spans="1:6" ht="28" x14ac:dyDescent="0.35">
      <c r="A29" s="21">
        <v>23</v>
      </c>
      <c r="B29" s="160" t="s">
        <v>114</v>
      </c>
      <c r="C29" s="156" t="s">
        <v>98</v>
      </c>
      <c r="D29" s="25">
        <f>D28</f>
        <v>521.28</v>
      </c>
      <c r="E29" s="235"/>
      <c r="F29" s="45">
        <f t="shared" si="0"/>
        <v>0</v>
      </c>
    </row>
    <row r="30" spans="1:6" ht="70" x14ac:dyDescent="0.35">
      <c r="A30" s="21">
        <v>24</v>
      </c>
      <c r="B30" s="160" t="s">
        <v>115</v>
      </c>
      <c r="C30" s="2" t="s">
        <v>75</v>
      </c>
      <c r="D30" s="28">
        <v>8</v>
      </c>
      <c r="E30" s="234"/>
      <c r="F30" s="45">
        <f t="shared" si="0"/>
        <v>0</v>
      </c>
    </row>
    <row r="31" spans="1:6" ht="98" x14ac:dyDescent="0.35">
      <c r="A31" s="21">
        <v>25</v>
      </c>
      <c r="B31" s="160" t="s">
        <v>116</v>
      </c>
      <c r="C31" s="2" t="s">
        <v>75</v>
      </c>
      <c r="D31" s="28">
        <f>8*5</f>
        <v>40</v>
      </c>
      <c r="E31" s="232"/>
      <c r="F31" s="45">
        <f t="shared" si="0"/>
        <v>0</v>
      </c>
    </row>
    <row r="32" spans="1:6" ht="98" x14ac:dyDescent="0.35">
      <c r="A32" s="21">
        <v>26</v>
      </c>
      <c r="B32" s="160" t="s">
        <v>117</v>
      </c>
      <c r="C32" s="2" t="s">
        <v>75</v>
      </c>
      <c r="D32" s="125">
        <v>2</v>
      </c>
      <c r="E32" s="236"/>
      <c r="F32" s="45">
        <f t="shared" si="0"/>
        <v>0</v>
      </c>
    </row>
    <row r="33" spans="1:6" ht="28.5" thickBot="1" x14ac:dyDescent="0.4">
      <c r="A33" s="21">
        <v>27</v>
      </c>
      <c r="B33" s="160" t="s">
        <v>118</v>
      </c>
      <c r="C33" s="4" t="s">
        <v>119</v>
      </c>
      <c r="D33" s="26">
        <v>8</v>
      </c>
      <c r="E33" s="237"/>
      <c r="F33" s="45">
        <f t="shared" si="0"/>
        <v>0</v>
      </c>
    </row>
    <row r="34" spans="1:6" ht="16" thickBot="1" x14ac:dyDescent="0.4">
      <c r="A34" s="176"/>
      <c r="B34" s="161"/>
      <c r="C34" s="158"/>
      <c r="D34" s="158"/>
      <c r="E34" s="173" t="str">
        <f>B6</f>
        <v>CONSTRUCTION OF  8 CLASSROOMS</v>
      </c>
      <c r="F34" s="159">
        <f>SUM(F7:F33)</f>
        <v>0</v>
      </c>
    </row>
    <row r="35" spans="1:6" s="55" customFormat="1" ht="16" thickBot="1" x14ac:dyDescent="0.4">
      <c r="A35" s="162" t="s">
        <v>120</v>
      </c>
      <c r="B35" s="163" t="s">
        <v>243</v>
      </c>
      <c r="C35" s="164"/>
      <c r="D35" s="150"/>
      <c r="E35" s="171"/>
      <c r="F35" s="174"/>
    </row>
    <row r="36" spans="1:6" s="55" customFormat="1" x14ac:dyDescent="0.35">
      <c r="A36" s="62"/>
      <c r="B36" s="92" t="s">
        <v>139</v>
      </c>
      <c r="C36" s="63"/>
      <c r="D36" s="64"/>
      <c r="E36" s="46"/>
      <c r="F36" s="118"/>
    </row>
    <row r="37" spans="1:6" s="55" customFormat="1" x14ac:dyDescent="0.35">
      <c r="A37" s="65"/>
      <c r="B37" s="66" t="s">
        <v>140</v>
      </c>
      <c r="C37" s="156"/>
      <c r="D37" s="10"/>
      <c r="E37" s="50"/>
      <c r="F37" s="50"/>
    </row>
    <row r="38" spans="1:6" s="55" customFormat="1" ht="43.5" x14ac:dyDescent="0.35">
      <c r="A38" s="10">
        <v>1</v>
      </c>
      <c r="B38" s="68" t="s">
        <v>141</v>
      </c>
      <c r="C38" s="156" t="s">
        <v>142</v>
      </c>
      <c r="D38" s="10">
        <f>4.4*4</f>
        <v>17.600000000000001</v>
      </c>
      <c r="E38" s="50"/>
      <c r="F38" s="50">
        <f t="shared" ref="F38:F84" si="1">D38*E38</f>
        <v>0</v>
      </c>
    </row>
    <row r="39" spans="1:6" s="55" customFormat="1" ht="29" x14ac:dyDescent="0.35">
      <c r="A39" s="10">
        <v>2</v>
      </c>
      <c r="B39" s="70" t="s">
        <v>143</v>
      </c>
      <c r="C39" s="156" t="s">
        <v>100</v>
      </c>
      <c r="D39" s="20">
        <f>2*3*5</f>
        <v>30</v>
      </c>
      <c r="E39" s="50"/>
      <c r="F39" s="50">
        <f t="shared" si="1"/>
        <v>0</v>
      </c>
    </row>
    <row r="40" spans="1:6" s="55" customFormat="1" ht="29" x14ac:dyDescent="0.35">
      <c r="A40" s="10">
        <v>3</v>
      </c>
      <c r="B40" s="70" t="s">
        <v>144</v>
      </c>
      <c r="C40" s="156" t="s">
        <v>100</v>
      </c>
      <c r="D40" s="12">
        <f>10*0.4</f>
        <v>4</v>
      </c>
      <c r="E40" s="50"/>
      <c r="F40" s="50">
        <f t="shared" si="1"/>
        <v>0</v>
      </c>
    </row>
    <row r="41" spans="1:6" s="55" customFormat="1" ht="43.5" x14ac:dyDescent="0.35">
      <c r="A41" s="10">
        <v>4</v>
      </c>
      <c r="B41" s="70" t="s">
        <v>145</v>
      </c>
      <c r="C41" s="156" t="s">
        <v>100</v>
      </c>
      <c r="D41" s="12">
        <f>23.2*0.4*0.3</f>
        <v>2.7839999999999998</v>
      </c>
      <c r="E41" s="50"/>
      <c r="F41" s="50">
        <f t="shared" si="1"/>
        <v>0</v>
      </c>
    </row>
    <row r="42" spans="1:6" s="55" customFormat="1" ht="43.5" x14ac:dyDescent="0.35">
      <c r="A42" s="10">
        <v>5</v>
      </c>
      <c r="B42" s="70" t="s">
        <v>146</v>
      </c>
      <c r="C42" s="156" t="s">
        <v>100</v>
      </c>
      <c r="D42" s="12">
        <f>23.2*0.4*0.05</f>
        <v>0.46399999999999997</v>
      </c>
      <c r="E42" s="50"/>
      <c r="F42" s="50">
        <f t="shared" si="1"/>
        <v>0</v>
      </c>
    </row>
    <row r="43" spans="1:6" s="55" customFormat="1" ht="58" x14ac:dyDescent="0.35">
      <c r="A43" s="10">
        <v>6</v>
      </c>
      <c r="B43" s="70" t="s">
        <v>147</v>
      </c>
      <c r="C43" s="156" t="s">
        <v>100</v>
      </c>
      <c r="D43" s="11">
        <f>23.2*0.4*0.6</f>
        <v>5.5679999999999996</v>
      </c>
      <c r="E43" s="50"/>
      <c r="F43" s="50">
        <f t="shared" si="1"/>
        <v>0</v>
      </c>
    </row>
    <row r="44" spans="1:6" s="55" customFormat="1" x14ac:dyDescent="0.35">
      <c r="A44" s="65"/>
      <c r="B44" s="66" t="s">
        <v>148</v>
      </c>
      <c r="C44" s="71"/>
      <c r="D44" s="2"/>
      <c r="E44" s="46"/>
      <c r="F44" s="50">
        <f t="shared" si="1"/>
        <v>0</v>
      </c>
    </row>
    <row r="45" spans="1:6" s="55" customFormat="1" ht="72.5" x14ac:dyDescent="0.35">
      <c r="A45" s="10">
        <v>7</v>
      </c>
      <c r="B45" s="70" t="s">
        <v>149</v>
      </c>
      <c r="C45" s="156" t="s">
        <v>100</v>
      </c>
      <c r="D45" s="11">
        <f>23.2*0.4*0.15</f>
        <v>1.3919999999999999</v>
      </c>
      <c r="E45" s="45"/>
      <c r="F45" s="50">
        <f t="shared" si="1"/>
        <v>0</v>
      </c>
    </row>
    <row r="46" spans="1:6" s="55" customFormat="1" ht="72.5" x14ac:dyDescent="0.35">
      <c r="A46" s="10">
        <v>8</v>
      </c>
      <c r="B46" s="70" t="s">
        <v>150</v>
      </c>
      <c r="C46" s="156" t="s">
        <v>100</v>
      </c>
      <c r="D46" s="11">
        <f>3.8*2.8*0.15</f>
        <v>1.5959999999999999</v>
      </c>
      <c r="E46" s="45"/>
      <c r="F46" s="50">
        <f t="shared" si="1"/>
        <v>0</v>
      </c>
    </row>
    <row r="47" spans="1:6" s="55" customFormat="1" x14ac:dyDescent="0.35">
      <c r="A47" s="65"/>
      <c r="B47" s="66" t="s">
        <v>151</v>
      </c>
      <c r="C47" s="10"/>
      <c r="D47" s="71"/>
      <c r="E47" s="45"/>
      <c r="F47" s="50">
        <f t="shared" si="1"/>
        <v>0</v>
      </c>
    </row>
    <row r="48" spans="1:6" s="55" customFormat="1" ht="29" x14ac:dyDescent="0.35">
      <c r="A48" s="10">
        <v>9</v>
      </c>
      <c r="B48" s="70" t="s">
        <v>152</v>
      </c>
      <c r="C48" s="156" t="s">
        <v>100</v>
      </c>
      <c r="D48" s="20">
        <f>((4.4*4)-(23.2*0.4))*0.2</f>
        <v>1.6640000000000006</v>
      </c>
      <c r="E48" s="45"/>
      <c r="F48" s="50">
        <f t="shared" si="1"/>
        <v>0</v>
      </c>
    </row>
    <row r="49" spans="1:6" s="55" customFormat="1" ht="29" x14ac:dyDescent="0.35">
      <c r="A49" s="10">
        <v>10</v>
      </c>
      <c r="B49" s="70" t="s">
        <v>153</v>
      </c>
      <c r="C49" s="156" t="s">
        <v>100</v>
      </c>
      <c r="D49" s="72">
        <f>((4.4*4)-(23.2*0.4))*0.2</f>
        <v>1.6640000000000006</v>
      </c>
      <c r="E49" s="45"/>
      <c r="F49" s="50">
        <f t="shared" si="1"/>
        <v>0</v>
      </c>
    </row>
    <row r="50" spans="1:6" s="55" customFormat="1" x14ac:dyDescent="0.35">
      <c r="A50" s="10"/>
      <c r="B50" s="66" t="s">
        <v>154</v>
      </c>
      <c r="C50" s="10"/>
      <c r="D50" s="73"/>
      <c r="E50" s="45"/>
      <c r="F50" s="50">
        <f t="shared" si="1"/>
        <v>0</v>
      </c>
    </row>
    <row r="51" spans="1:6" s="55" customFormat="1" ht="43.5" x14ac:dyDescent="0.35">
      <c r="A51" s="10">
        <v>11</v>
      </c>
      <c r="B51" s="70" t="s">
        <v>155</v>
      </c>
      <c r="C51" s="156" t="s">
        <v>100</v>
      </c>
      <c r="D51" s="73">
        <f>4.4*4*0.05</f>
        <v>0.88000000000000012</v>
      </c>
      <c r="E51" s="45"/>
      <c r="F51" s="50">
        <f t="shared" si="1"/>
        <v>0</v>
      </c>
    </row>
    <row r="52" spans="1:6" s="55" customFormat="1" ht="29" x14ac:dyDescent="0.35">
      <c r="A52" s="10">
        <v>12</v>
      </c>
      <c r="B52" s="74" t="s">
        <v>156</v>
      </c>
      <c r="C52" s="154" t="s">
        <v>98</v>
      </c>
      <c r="D52" s="2">
        <f>4*4</f>
        <v>16</v>
      </c>
      <c r="E52" s="45"/>
      <c r="F52" s="50">
        <f t="shared" si="1"/>
        <v>0</v>
      </c>
    </row>
    <row r="53" spans="1:6" s="55" customFormat="1" ht="43.5" x14ac:dyDescent="0.35">
      <c r="A53" s="10">
        <v>13</v>
      </c>
      <c r="B53" s="74" t="s">
        <v>157</v>
      </c>
      <c r="C53" s="156" t="s">
        <v>98</v>
      </c>
      <c r="D53" s="2">
        <f>2*((2*4*2)+4+1.7+4)</f>
        <v>51.4</v>
      </c>
      <c r="E53" s="45"/>
      <c r="F53" s="50">
        <f t="shared" si="1"/>
        <v>0</v>
      </c>
    </row>
    <row r="54" spans="1:6" s="55" customFormat="1" x14ac:dyDescent="0.35">
      <c r="A54" s="65"/>
      <c r="B54" s="95" t="s">
        <v>139</v>
      </c>
      <c r="C54" s="2"/>
      <c r="D54" s="75"/>
      <c r="E54" s="45"/>
      <c r="F54" s="50"/>
    </row>
    <row r="55" spans="1:6" s="55" customFormat="1" x14ac:dyDescent="0.35">
      <c r="A55" s="10"/>
      <c r="B55" s="76" t="s">
        <v>158</v>
      </c>
      <c r="C55" s="1"/>
      <c r="D55" s="1"/>
      <c r="E55" s="50"/>
      <c r="F55" s="50"/>
    </row>
    <row r="56" spans="1:6" s="55" customFormat="1" ht="43.5" x14ac:dyDescent="0.35">
      <c r="A56" s="10">
        <v>14</v>
      </c>
      <c r="B56" s="74" t="s">
        <v>159</v>
      </c>
      <c r="C56" s="156" t="s">
        <v>98</v>
      </c>
      <c r="D56" s="2">
        <f>21.5*3</f>
        <v>64.5</v>
      </c>
      <c r="E56" s="45"/>
      <c r="F56" s="50">
        <f t="shared" si="1"/>
        <v>0</v>
      </c>
    </row>
    <row r="57" spans="1:6" s="55" customFormat="1" x14ac:dyDescent="0.35">
      <c r="A57" s="10"/>
      <c r="B57" s="76" t="s">
        <v>160</v>
      </c>
      <c r="C57" s="1"/>
      <c r="D57" s="1"/>
      <c r="E57" s="46"/>
      <c r="F57" s="50">
        <f t="shared" si="1"/>
        <v>0</v>
      </c>
    </row>
    <row r="58" spans="1:6" s="55" customFormat="1" ht="72.5" x14ac:dyDescent="0.35">
      <c r="A58" s="10">
        <v>15</v>
      </c>
      <c r="B58" s="74" t="s">
        <v>161</v>
      </c>
      <c r="C58" s="156" t="s">
        <v>100</v>
      </c>
      <c r="D58" s="11">
        <f>21.5*0.15*0.15</f>
        <v>0.48375000000000001</v>
      </c>
      <c r="E58" s="45"/>
      <c r="F58" s="50">
        <f t="shared" si="1"/>
        <v>0</v>
      </c>
    </row>
    <row r="59" spans="1:6" s="55" customFormat="1" x14ac:dyDescent="0.35">
      <c r="A59" s="2"/>
      <c r="B59" s="66" t="s">
        <v>162</v>
      </c>
      <c r="C59" s="1"/>
      <c r="D59" s="1"/>
      <c r="E59" s="45"/>
      <c r="F59" s="50"/>
    </row>
    <row r="60" spans="1:6" s="55" customFormat="1" ht="43.5" x14ac:dyDescent="0.35">
      <c r="A60" s="2">
        <v>16</v>
      </c>
      <c r="B60" s="74" t="s">
        <v>163</v>
      </c>
      <c r="C60" s="10" t="s">
        <v>131</v>
      </c>
      <c r="D60" s="11">
        <v>1</v>
      </c>
      <c r="E60" s="45"/>
      <c r="F60" s="50">
        <f t="shared" si="1"/>
        <v>0</v>
      </c>
    </row>
    <row r="61" spans="1:6" s="55" customFormat="1" ht="43.5" x14ac:dyDescent="0.35">
      <c r="A61" s="2">
        <v>17</v>
      </c>
      <c r="B61" s="74" t="s">
        <v>164</v>
      </c>
      <c r="C61" s="10" t="s">
        <v>131</v>
      </c>
      <c r="D61" s="11">
        <v>1</v>
      </c>
      <c r="E61" s="45"/>
      <c r="F61" s="50">
        <f t="shared" si="1"/>
        <v>0</v>
      </c>
    </row>
    <row r="62" spans="1:6" s="55" customFormat="1" ht="29" x14ac:dyDescent="0.35">
      <c r="A62" s="2">
        <v>18</v>
      </c>
      <c r="B62" s="77" t="s">
        <v>165</v>
      </c>
      <c r="C62" s="2" t="s">
        <v>131</v>
      </c>
      <c r="D62" s="11">
        <v>1</v>
      </c>
      <c r="E62" s="45"/>
      <c r="F62" s="50">
        <f t="shared" si="1"/>
        <v>0</v>
      </c>
    </row>
    <row r="63" spans="1:6" s="55" customFormat="1" x14ac:dyDescent="0.35">
      <c r="A63" s="1"/>
      <c r="B63" s="95" t="s">
        <v>166</v>
      </c>
      <c r="C63" s="1"/>
      <c r="D63" s="1"/>
      <c r="E63" s="45"/>
      <c r="F63" s="50">
        <f t="shared" si="1"/>
        <v>0</v>
      </c>
    </row>
    <row r="64" spans="1:6" s="55" customFormat="1" ht="101.5" x14ac:dyDescent="0.35">
      <c r="A64" s="2">
        <v>19</v>
      </c>
      <c r="B64" s="74" t="s">
        <v>167</v>
      </c>
      <c r="C64" s="156" t="s">
        <v>98</v>
      </c>
      <c r="D64" s="11">
        <f>4.6*4*1.15</f>
        <v>21.159999999999997</v>
      </c>
      <c r="E64" s="45"/>
      <c r="F64" s="50">
        <f t="shared" si="1"/>
        <v>0</v>
      </c>
    </row>
    <row r="65" spans="1:6" s="55" customFormat="1" x14ac:dyDescent="0.35">
      <c r="A65" s="2">
        <v>20</v>
      </c>
      <c r="B65" s="1" t="s">
        <v>168</v>
      </c>
      <c r="C65" s="2" t="s">
        <v>169</v>
      </c>
      <c r="D65" s="11">
        <v>20</v>
      </c>
      <c r="E65" s="45"/>
      <c r="F65" s="50">
        <f t="shared" si="1"/>
        <v>0</v>
      </c>
    </row>
    <row r="66" spans="1:6" s="55" customFormat="1" x14ac:dyDescent="0.35">
      <c r="A66" s="1"/>
      <c r="B66" s="95" t="s">
        <v>170</v>
      </c>
      <c r="C66" s="1"/>
      <c r="D66" s="1"/>
      <c r="E66" s="45"/>
      <c r="F66" s="50">
        <f t="shared" si="1"/>
        <v>0</v>
      </c>
    </row>
    <row r="67" spans="1:6" s="55" customFormat="1" ht="29" x14ac:dyDescent="0.35">
      <c r="A67" s="2">
        <v>21</v>
      </c>
      <c r="B67" s="77" t="s">
        <v>171</v>
      </c>
      <c r="C67" s="156" t="s">
        <v>98</v>
      </c>
      <c r="D67" s="2">
        <f>(21.5*3)*2</f>
        <v>129</v>
      </c>
      <c r="E67" s="45"/>
      <c r="F67" s="50">
        <f t="shared" si="1"/>
        <v>0</v>
      </c>
    </row>
    <row r="68" spans="1:6" s="55" customFormat="1" ht="29" x14ac:dyDescent="0.35">
      <c r="A68" s="2">
        <v>22</v>
      </c>
      <c r="B68" s="77" t="s">
        <v>172</v>
      </c>
      <c r="C68" s="156" t="s">
        <v>98</v>
      </c>
      <c r="D68" s="2">
        <f>(21.5*1)*2</f>
        <v>43</v>
      </c>
      <c r="E68" s="45"/>
      <c r="F68" s="50">
        <f t="shared" si="1"/>
        <v>0</v>
      </c>
    </row>
    <row r="69" spans="1:6" s="55" customFormat="1" ht="43.5" x14ac:dyDescent="0.35">
      <c r="A69" s="2">
        <v>23</v>
      </c>
      <c r="B69" s="77" t="s">
        <v>173</v>
      </c>
      <c r="C69" s="156" t="s">
        <v>98</v>
      </c>
      <c r="D69" s="2">
        <f>D68</f>
        <v>43</v>
      </c>
      <c r="E69" s="45"/>
      <c r="F69" s="50">
        <f t="shared" si="1"/>
        <v>0</v>
      </c>
    </row>
    <row r="70" spans="1:6" s="55" customFormat="1" x14ac:dyDescent="0.35">
      <c r="A70" s="1"/>
      <c r="B70" s="95" t="s">
        <v>174</v>
      </c>
      <c r="C70" s="156"/>
      <c r="D70" s="1"/>
      <c r="E70" s="45"/>
      <c r="F70" s="50"/>
    </row>
    <row r="71" spans="1:6" s="55" customFormat="1" x14ac:dyDescent="0.35">
      <c r="A71" s="2"/>
      <c r="B71" s="76" t="s">
        <v>175</v>
      </c>
      <c r="C71" s="1"/>
      <c r="D71" s="1"/>
      <c r="E71" s="45"/>
      <c r="F71" s="50"/>
    </row>
    <row r="72" spans="1:6" s="55" customFormat="1" ht="43.5" x14ac:dyDescent="0.35">
      <c r="A72" s="2">
        <v>24</v>
      </c>
      <c r="B72" s="77" t="s">
        <v>176</v>
      </c>
      <c r="C72" s="2" t="s">
        <v>177</v>
      </c>
      <c r="D72" s="11">
        <v>2</v>
      </c>
      <c r="E72" s="45"/>
      <c r="F72" s="50">
        <f t="shared" si="1"/>
        <v>0</v>
      </c>
    </row>
    <row r="73" spans="1:6" s="55" customFormat="1" x14ac:dyDescent="0.35">
      <c r="A73" s="1"/>
      <c r="B73" s="76" t="s">
        <v>178</v>
      </c>
      <c r="C73" s="1"/>
      <c r="D73" s="1"/>
      <c r="E73" s="45"/>
      <c r="F73" s="50">
        <f t="shared" si="1"/>
        <v>0</v>
      </c>
    </row>
    <row r="74" spans="1:6" s="55" customFormat="1" ht="29" x14ac:dyDescent="0.35">
      <c r="A74" s="2">
        <v>25</v>
      </c>
      <c r="B74" s="74" t="s">
        <v>179</v>
      </c>
      <c r="C74" s="2" t="s">
        <v>177</v>
      </c>
      <c r="D74" s="11">
        <v>2</v>
      </c>
      <c r="E74" s="45"/>
      <c r="F74" s="50">
        <f t="shared" si="1"/>
        <v>0</v>
      </c>
    </row>
    <row r="75" spans="1:6" s="55" customFormat="1" x14ac:dyDescent="0.35">
      <c r="A75" s="2"/>
      <c r="B75" s="95" t="s">
        <v>180</v>
      </c>
      <c r="C75" s="2"/>
      <c r="D75" s="11"/>
      <c r="E75" s="45"/>
      <c r="F75" s="50"/>
    </row>
    <row r="76" spans="1:6" s="55" customFormat="1" x14ac:dyDescent="0.35">
      <c r="A76" s="2"/>
      <c r="B76" s="76" t="s">
        <v>181</v>
      </c>
      <c r="C76" s="1"/>
      <c r="D76" s="1"/>
      <c r="E76" s="45"/>
      <c r="F76" s="50"/>
    </row>
    <row r="77" spans="1:6" s="55" customFormat="1" x14ac:dyDescent="0.35">
      <c r="A77" s="2">
        <v>26</v>
      </c>
      <c r="B77" s="78" t="s">
        <v>182</v>
      </c>
      <c r="C77" s="2" t="s">
        <v>177</v>
      </c>
      <c r="D77" s="11">
        <v>1</v>
      </c>
      <c r="E77" s="45"/>
      <c r="F77" s="50">
        <f t="shared" si="1"/>
        <v>0</v>
      </c>
    </row>
    <row r="78" spans="1:6" s="55" customFormat="1" ht="29" x14ac:dyDescent="0.35">
      <c r="A78" s="2">
        <v>27</v>
      </c>
      <c r="B78" s="78" t="s">
        <v>183</v>
      </c>
      <c r="C78" s="2" t="s">
        <v>177</v>
      </c>
      <c r="D78" s="11">
        <v>1</v>
      </c>
      <c r="E78" s="45"/>
      <c r="F78" s="50">
        <f t="shared" si="1"/>
        <v>0</v>
      </c>
    </row>
    <row r="79" spans="1:6" s="55" customFormat="1" ht="43.5" x14ac:dyDescent="0.35">
      <c r="A79" s="2">
        <v>28</v>
      </c>
      <c r="B79" s="78" t="s">
        <v>184</v>
      </c>
      <c r="C79" s="2" t="s">
        <v>177</v>
      </c>
      <c r="D79" s="11">
        <v>1</v>
      </c>
      <c r="E79" s="45"/>
      <c r="F79" s="50">
        <f t="shared" si="1"/>
        <v>0</v>
      </c>
    </row>
    <row r="80" spans="1:6" s="55" customFormat="1" ht="29" x14ac:dyDescent="0.35">
      <c r="A80" s="2">
        <v>29</v>
      </c>
      <c r="B80" s="78" t="s">
        <v>185</v>
      </c>
      <c r="C80" s="2" t="s">
        <v>177</v>
      </c>
      <c r="D80" s="11">
        <v>2</v>
      </c>
      <c r="E80" s="45"/>
      <c r="F80" s="50">
        <f t="shared" si="1"/>
        <v>0</v>
      </c>
    </row>
    <row r="81" spans="1:25" s="55" customFormat="1" ht="29" x14ac:dyDescent="0.35">
      <c r="A81" s="2">
        <v>30</v>
      </c>
      <c r="B81" s="70" t="s">
        <v>186</v>
      </c>
      <c r="C81" s="2" t="s">
        <v>177</v>
      </c>
      <c r="D81" s="11">
        <v>2</v>
      </c>
      <c r="E81" s="45"/>
      <c r="F81" s="50">
        <f t="shared" si="1"/>
        <v>0</v>
      </c>
    </row>
    <row r="82" spans="1:25" s="55" customFormat="1" ht="29" x14ac:dyDescent="0.35">
      <c r="A82" s="2">
        <v>31</v>
      </c>
      <c r="B82" s="70" t="s">
        <v>187</v>
      </c>
      <c r="C82" s="2" t="s">
        <v>188</v>
      </c>
      <c r="D82" s="11">
        <v>1</v>
      </c>
      <c r="E82" s="45"/>
      <c r="F82" s="50">
        <f t="shared" si="1"/>
        <v>0</v>
      </c>
    </row>
    <row r="83" spans="1:25" s="55" customFormat="1" x14ac:dyDescent="0.35">
      <c r="A83" s="1"/>
      <c r="B83" s="95" t="s">
        <v>189</v>
      </c>
      <c r="C83" s="1"/>
      <c r="D83" s="1"/>
      <c r="E83" s="45"/>
      <c r="F83" s="50"/>
    </row>
    <row r="84" spans="1:25" s="55" customFormat="1" ht="29" x14ac:dyDescent="0.35">
      <c r="A84" s="2">
        <v>31</v>
      </c>
      <c r="B84" s="77" t="s">
        <v>190</v>
      </c>
      <c r="C84" s="2" t="s">
        <v>177</v>
      </c>
      <c r="D84" s="11">
        <v>2</v>
      </c>
      <c r="E84" s="45"/>
      <c r="F84" s="50">
        <f t="shared" si="1"/>
        <v>0</v>
      </c>
    </row>
    <row r="85" spans="1:25" ht="15" thickBot="1" x14ac:dyDescent="0.4">
      <c r="A85" s="2"/>
      <c r="B85" s="315" t="s">
        <v>241</v>
      </c>
      <c r="C85" s="316"/>
      <c r="D85" s="316"/>
      <c r="E85" s="317"/>
      <c r="F85" s="238">
        <f>SUM(F38:F84)</f>
        <v>0</v>
      </c>
      <c r="H85" s="5"/>
    </row>
    <row r="86" spans="1:25" s="55" customFormat="1" ht="16" thickBot="1" x14ac:dyDescent="0.4">
      <c r="A86" s="75"/>
      <c r="B86" s="161"/>
      <c r="C86" s="158"/>
      <c r="D86" s="158"/>
      <c r="E86" s="173" t="s">
        <v>242</v>
      </c>
      <c r="F86" s="159">
        <f>F85*2</f>
        <v>0</v>
      </c>
    </row>
    <row r="87" spans="1:25" s="55" customFormat="1" ht="16" thickBot="1" x14ac:dyDescent="0.4">
      <c r="A87" s="162" t="s">
        <v>121</v>
      </c>
      <c r="B87" s="163" t="s">
        <v>122</v>
      </c>
      <c r="C87" s="155"/>
      <c r="D87" s="155"/>
      <c r="E87" s="178"/>
      <c r="F87" s="179"/>
    </row>
    <row r="88" spans="1:25" x14ac:dyDescent="0.35">
      <c r="A88" s="189">
        <v>1</v>
      </c>
      <c r="B88" s="190" t="s">
        <v>123</v>
      </c>
      <c r="C88" s="154"/>
      <c r="D88" s="154"/>
      <c r="E88" s="172"/>
      <c r="F88" s="191"/>
    </row>
    <row r="89" spans="1:25" s="152" customFormat="1" ht="70" x14ac:dyDescent="0.3">
      <c r="A89" s="186">
        <v>1.1000000000000001</v>
      </c>
      <c r="B89" s="184" t="s">
        <v>124</v>
      </c>
      <c r="C89" s="154" t="s">
        <v>125</v>
      </c>
      <c r="D89" s="182">
        <f>(2.5*1.8*1.3)</f>
        <v>5.8500000000000005</v>
      </c>
      <c r="E89" s="183"/>
      <c r="F89" s="183">
        <f>D89*E89</f>
        <v>0</v>
      </c>
      <c r="G89" s="192"/>
      <c r="H89" s="192"/>
      <c r="I89" s="192"/>
      <c r="J89" s="192"/>
      <c r="K89" s="192"/>
      <c r="L89" s="192"/>
      <c r="M89" s="192"/>
      <c r="N89" s="192"/>
      <c r="O89" s="192"/>
      <c r="P89" s="192"/>
      <c r="Q89" s="192"/>
      <c r="R89" s="192"/>
      <c r="S89" s="192"/>
      <c r="T89" s="192"/>
      <c r="U89" s="192"/>
      <c r="V89" s="192"/>
      <c r="W89" s="192"/>
      <c r="X89" s="192"/>
      <c r="Y89" s="192"/>
    </row>
    <row r="90" spans="1:25" s="152" customFormat="1" ht="28" x14ac:dyDescent="0.3">
      <c r="A90" s="186">
        <v>1.2</v>
      </c>
      <c r="B90" s="184" t="s">
        <v>126</v>
      </c>
      <c r="C90" s="156" t="s">
        <v>98</v>
      </c>
      <c r="D90" s="182">
        <f>(((1.8+1.8+2+2)*1)+(1.8*2))</f>
        <v>11.2</v>
      </c>
      <c r="E90" s="183"/>
      <c r="F90" s="183">
        <f t="shared" ref="F90:F91" si="2">D90*E90</f>
        <v>0</v>
      </c>
      <c r="G90" s="192"/>
      <c r="H90" s="192"/>
      <c r="I90" s="192"/>
      <c r="J90" s="192"/>
      <c r="K90" s="192"/>
      <c r="L90" s="192"/>
      <c r="M90" s="192"/>
      <c r="N90" s="192"/>
      <c r="O90" s="192"/>
      <c r="P90" s="192"/>
      <c r="Q90" s="192"/>
      <c r="R90" s="192"/>
      <c r="S90" s="192"/>
      <c r="T90" s="192"/>
      <c r="U90" s="192"/>
      <c r="V90" s="192"/>
      <c r="W90" s="192"/>
      <c r="X90" s="192"/>
      <c r="Y90" s="192"/>
    </row>
    <row r="91" spans="1:25" s="152" customFormat="1" ht="28" x14ac:dyDescent="0.3">
      <c r="A91" s="186">
        <v>1.3</v>
      </c>
      <c r="B91" s="193" t="s">
        <v>127</v>
      </c>
      <c r="C91" s="156" t="s">
        <v>98</v>
      </c>
      <c r="D91" s="182">
        <f>D90</f>
        <v>11.2</v>
      </c>
      <c r="E91" s="183"/>
      <c r="F91" s="183">
        <f t="shared" si="2"/>
        <v>0</v>
      </c>
      <c r="G91" s="192"/>
      <c r="H91" s="192"/>
      <c r="I91" s="192"/>
      <c r="J91" s="192"/>
      <c r="K91" s="192"/>
      <c r="L91" s="192"/>
      <c r="M91" s="192"/>
      <c r="N91" s="192"/>
      <c r="O91" s="192"/>
      <c r="P91" s="192"/>
      <c r="Q91" s="192"/>
      <c r="R91" s="192"/>
      <c r="S91" s="192"/>
      <c r="T91" s="192"/>
      <c r="U91" s="192"/>
      <c r="V91" s="192"/>
      <c r="W91" s="192"/>
      <c r="X91" s="192"/>
      <c r="Y91" s="192"/>
    </row>
    <row r="92" spans="1:25" s="151" customFormat="1" ht="15.5" x14ac:dyDescent="0.35">
      <c r="A92" s="194">
        <v>2</v>
      </c>
      <c r="B92" s="170" t="s">
        <v>128</v>
      </c>
      <c r="C92" s="154"/>
      <c r="D92" s="154"/>
      <c r="E92" s="172"/>
      <c r="F92" s="191"/>
      <c r="P92" s="180"/>
      <c r="Q92" s="180"/>
      <c r="R92" s="180"/>
      <c r="S92" s="180"/>
      <c r="T92" s="180"/>
      <c r="U92" s="180"/>
      <c r="V92" s="181"/>
      <c r="W92" s="181"/>
      <c r="X92" s="180"/>
      <c r="Y92" s="180"/>
    </row>
    <row r="93" spans="1:25" s="152" customFormat="1" ht="70" x14ac:dyDescent="0.3">
      <c r="A93" s="186">
        <v>2.1</v>
      </c>
      <c r="B93" s="193" t="s">
        <v>129</v>
      </c>
      <c r="C93" s="185" t="s">
        <v>75</v>
      </c>
      <c r="D93" s="195">
        <v>1</v>
      </c>
      <c r="E93" s="183"/>
      <c r="F93" s="188">
        <f t="shared" ref="F93:F95" si="3">E93*D93</f>
        <v>0</v>
      </c>
      <c r="G93" s="153"/>
      <c r="H93" s="153"/>
      <c r="I93" s="153"/>
      <c r="J93" s="153"/>
      <c r="K93" s="153"/>
      <c r="L93" s="153"/>
      <c r="V93" s="153"/>
      <c r="W93" s="153"/>
      <c r="X93" s="153"/>
      <c r="Y93" s="153"/>
    </row>
    <row r="94" spans="1:25" s="152" customFormat="1" ht="56" x14ac:dyDescent="0.3">
      <c r="A94" s="186">
        <v>2.2000000000000002</v>
      </c>
      <c r="B94" s="193" t="s">
        <v>130</v>
      </c>
      <c r="C94" s="185" t="s">
        <v>131</v>
      </c>
      <c r="D94" s="195">
        <v>1</v>
      </c>
      <c r="E94" s="183"/>
      <c r="F94" s="188">
        <f t="shared" si="3"/>
        <v>0</v>
      </c>
      <c r="G94" s="153"/>
      <c r="H94" s="153"/>
      <c r="I94" s="153"/>
      <c r="J94" s="153"/>
      <c r="K94" s="153"/>
      <c r="L94" s="153"/>
      <c r="V94" s="153"/>
      <c r="W94" s="153"/>
      <c r="X94" s="153"/>
      <c r="Y94" s="153"/>
    </row>
    <row r="95" spans="1:25" s="152" customFormat="1" ht="70" x14ac:dyDescent="0.3">
      <c r="A95" s="186">
        <v>3.2</v>
      </c>
      <c r="B95" s="193" t="s">
        <v>132</v>
      </c>
      <c r="C95" s="185" t="s">
        <v>131</v>
      </c>
      <c r="D95" s="195">
        <v>1</v>
      </c>
      <c r="E95" s="183"/>
      <c r="F95" s="188">
        <f t="shared" si="3"/>
        <v>0</v>
      </c>
      <c r="G95" s="153"/>
      <c r="H95" s="153"/>
      <c r="I95" s="153"/>
      <c r="J95" s="153"/>
      <c r="K95" s="153"/>
      <c r="L95" s="153"/>
      <c r="V95" s="153"/>
      <c r="W95" s="153"/>
      <c r="X95" s="153"/>
      <c r="Y95" s="153"/>
    </row>
    <row r="96" spans="1:25" x14ac:dyDescent="0.35">
      <c r="A96" s="222">
        <v>3</v>
      </c>
      <c r="B96" s="223" t="s">
        <v>133</v>
      </c>
      <c r="C96" s="224"/>
      <c r="D96" s="225"/>
      <c r="E96" s="226"/>
      <c r="F96" s="227"/>
    </row>
    <row r="97" spans="1:16" ht="42.5" thickBot="1" x14ac:dyDescent="0.4">
      <c r="A97" s="228">
        <v>1.1000000000000001</v>
      </c>
      <c r="B97" s="229" t="s">
        <v>134</v>
      </c>
      <c r="C97" s="224" t="s">
        <v>135</v>
      </c>
      <c r="D97" s="225">
        <v>45</v>
      </c>
      <c r="E97" s="230"/>
      <c r="F97" s="231">
        <f t="shared" ref="F97" si="4">E97*D97</f>
        <v>0</v>
      </c>
    </row>
    <row r="98" spans="1:16" ht="16" thickBot="1" x14ac:dyDescent="0.4">
      <c r="A98" s="177"/>
      <c r="B98" s="157"/>
      <c r="C98" s="158"/>
      <c r="D98" s="158"/>
      <c r="E98" s="173" t="str">
        <f>B87</f>
        <v>NEW GROUND WATER TANK (1)</v>
      </c>
      <c r="F98" s="159">
        <f>SUM(F89:F97)</f>
        <v>0</v>
      </c>
    </row>
    <row r="99" spans="1:16" s="151" customFormat="1" ht="15.5" x14ac:dyDescent="0.35">
      <c r="A99" s="318" t="s">
        <v>136</v>
      </c>
      <c r="B99" s="319"/>
      <c r="C99" s="319"/>
      <c r="D99" s="319"/>
      <c r="E99" s="319"/>
      <c r="F99" s="320"/>
      <c r="G99" s="180"/>
      <c r="H99" s="180"/>
      <c r="I99" s="180"/>
      <c r="J99" s="180"/>
      <c r="K99" s="180"/>
      <c r="L99" s="180"/>
      <c r="M99" s="180"/>
      <c r="N99" s="180"/>
      <c r="O99" s="180"/>
    </row>
    <row r="100" spans="1:16" s="151" customFormat="1" ht="16" thickBot="1" x14ac:dyDescent="0.4">
      <c r="A100" s="321"/>
      <c r="B100" s="322"/>
      <c r="C100" s="322"/>
      <c r="D100" s="322"/>
      <c r="E100" s="322"/>
      <c r="F100" s="323"/>
      <c r="G100" s="180"/>
      <c r="H100" s="180"/>
      <c r="I100" s="180"/>
      <c r="J100" s="180"/>
      <c r="K100" s="180"/>
      <c r="L100" s="180"/>
      <c r="M100" s="180"/>
      <c r="N100" s="180"/>
      <c r="O100" s="180"/>
    </row>
    <row r="101" spans="1:16" s="151" customFormat="1" ht="15.5" x14ac:dyDescent="0.35">
      <c r="A101" s="165"/>
      <c r="B101" s="290" t="s">
        <v>137</v>
      </c>
      <c r="C101" s="291"/>
      <c r="D101" s="292"/>
      <c r="E101" s="293" t="s">
        <v>138</v>
      </c>
      <c r="F101" s="294"/>
      <c r="G101" s="180"/>
      <c r="H101" s="180"/>
      <c r="I101" s="180"/>
      <c r="J101" s="180"/>
      <c r="K101" s="180"/>
      <c r="L101" s="180"/>
      <c r="M101" s="180"/>
      <c r="N101" s="180"/>
      <c r="O101" s="180"/>
    </row>
    <row r="102" spans="1:16" s="151" customFormat="1" ht="15.5" x14ac:dyDescent="0.35">
      <c r="A102" s="166" t="str">
        <f>A6</f>
        <v>A</v>
      </c>
      <c r="B102" s="282" t="str">
        <f>B6</f>
        <v>CONSTRUCTION OF  8 CLASSROOMS</v>
      </c>
      <c r="C102" s="283"/>
      <c r="D102" s="284"/>
      <c r="E102" s="285">
        <f>F34</f>
        <v>0</v>
      </c>
      <c r="F102" s="286"/>
      <c r="G102" s="180"/>
      <c r="H102" s="180"/>
      <c r="I102" s="180"/>
      <c r="J102" s="180"/>
      <c r="K102" s="180"/>
      <c r="L102" s="180"/>
      <c r="M102" s="180"/>
      <c r="N102" s="180"/>
      <c r="O102" s="180"/>
    </row>
    <row r="103" spans="1:16" s="152" customFormat="1" ht="15.5" x14ac:dyDescent="0.3">
      <c r="A103" s="166" t="str">
        <f>A35</f>
        <v>B</v>
      </c>
      <c r="B103" s="282" t="str">
        <f>B35</f>
        <v>CONSTRUCTION FOR TWO TWIN LATERINES</v>
      </c>
      <c r="C103" s="283"/>
      <c r="D103" s="284"/>
      <c r="E103" s="285">
        <f>F86</f>
        <v>0</v>
      </c>
      <c r="F103" s="286"/>
      <c r="G103" s="153"/>
      <c r="H103" s="153"/>
      <c r="I103" s="153"/>
      <c r="J103" s="153"/>
      <c r="K103" s="153"/>
      <c r="L103" s="153"/>
      <c r="M103" s="153"/>
      <c r="N103" s="153"/>
      <c r="O103" s="153"/>
    </row>
    <row r="104" spans="1:16" s="152" customFormat="1" ht="16" thickBot="1" x14ac:dyDescent="0.35">
      <c r="A104" s="166" t="str">
        <f>A87</f>
        <v>C</v>
      </c>
      <c r="B104" s="282" t="str">
        <f>B87</f>
        <v>NEW GROUND WATER TANK (1)</v>
      </c>
      <c r="C104" s="283"/>
      <c r="D104" s="284"/>
      <c r="E104" s="285">
        <f>F98</f>
        <v>0</v>
      </c>
      <c r="F104" s="286"/>
      <c r="G104" s="153"/>
      <c r="H104" s="153"/>
      <c r="I104" s="153"/>
      <c r="J104" s="153"/>
      <c r="K104" s="153"/>
      <c r="L104" s="153"/>
      <c r="M104" s="153"/>
      <c r="N104" s="153"/>
      <c r="O104" s="153"/>
    </row>
    <row r="105" spans="1:16" s="152" customFormat="1" ht="18" thickBot="1" x14ac:dyDescent="0.35">
      <c r="A105" s="167"/>
      <c r="B105" s="287" t="str">
        <f>B3</f>
        <v>Ceel-Jaale Primary School</v>
      </c>
      <c r="C105" s="288"/>
      <c r="D105" s="289"/>
      <c r="E105" s="220">
        <f>SUM(E102:F104)</f>
        <v>0</v>
      </c>
      <c r="F105" s="221"/>
      <c r="G105" s="153"/>
      <c r="H105" s="153"/>
      <c r="I105" s="153"/>
      <c r="J105" s="153"/>
      <c r="K105" s="153"/>
      <c r="L105" s="153"/>
      <c r="M105" s="153"/>
      <c r="N105" s="153"/>
      <c r="O105" s="153"/>
      <c r="P105" s="153"/>
    </row>
    <row r="117" s="55" customFormat="1" x14ac:dyDescent="0.35"/>
  </sheetData>
  <mergeCells count="20">
    <mergeCell ref="B101:D101"/>
    <mergeCell ref="E101:F101"/>
    <mergeCell ref="B1:D1"/>
    <mergeCell ref="E1:F1"/>
    <mergeCell ref="A2:A3"/>
    <mergeCell ref="B2:C2"/>
    <mergeCell ref="D2:E3"/>
    <mergeCell ref="B3:C3"/>
    <mergeCell ref="A4:A5"/>
    <mergeCell ref="B4:C4"/>
    <mergeCell ref="D4:F4"/>
    <mergeCell ref="B85:E85"/>
    <mergeCell ref="A99:F100"/>
    <mergeCell ref="B104:D104"/>
    <mergeCell ref="E104:F104"/>
    <mergeCell ref="B105:D105"/>
    <mergeCell ref="B102:D102"/>
    <mergeCell ref="E102:F102"/>
    <mergeCell ref="B103:D103"/>
    <mergeCell ref="E103:F10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0F75B-2153-4CA9-9664-4A60E2B3D522}">
  <dimension ref="A1:Y117"/>
  <sheetViews>
    <sheetView workbookViewId="0">
      <selection activeCell="J94" sqref="J94"/>
    </sheetView>
  </sheetViews>
  <sheetFormatPr defaultRowHeight="14.5" x14ac:dyDescent="0.35"/>
  <cols>
    <col min="1" max="1" width="12.36328125" bestFit="1" customWidth="1"/>
    <col min="2" max="2" width="52.6328125" style="143" customWidth="1"/>
    <col min="3" max="3" width="5.54296875" style="5" bestFit="1" customWidth="1"/>
    <col min="4" max="4" width="10.36328125" style="90" bestFit="1" customWidth="1"/>
    <col min="5" max="5" width="11.453125" bestFit="1" customWidth="1"/>
    <col min="6" max="6" width="15.453125" customWidth="1"/>
  </cols>
  <sheetData>
    <row r="1" spans="1:6" ht="43.25" customHeight="1" thickBot="1" x14ac:dyDescent="0.4">
      <c r="A1" s="144" t="s">
        <v>83</v>
      </c>
      <c r="B1" s="295" t="s">
        <v>84</v>
      </c>
      <c r="C1" s="296"/>
      <c r="D1" s="297"/>
      <c r="E1" s="298"/>
      <c r="F1" s="299"/>
    </row>
    <row r="2" spans="1:6" x14ac:dyDescent="0.35">
      <c r="A2" s="300" t="s">
        <v>72</v>
      </c>
      <c r="B2" s="302" t="s">
        <v>85</v>
      </c>
      <c r="C2" s="303"/>
      <c r="D2" s="304" t="s">
        <v>86</v>
      </c>
      <c r="E2" s="305"/>
      <c r="F2" s="168" t="s">
        <v>235</v>
      </c>
    </row>
    <row r="3" spans="1:6" ht="15" thickBot="1" x14ac:dyDescent="0.4">
      <c r="A3" s="301"/>
      <c r="B3" s="308" t="s">
        <v>244</v>
      </c>
      <c r="C3" s="309"/>
      <c r="D3" s="306"/>
      <c r="E3" s="307"/>
      <c r="F3" s="169" t="s">
        <v>236</v>
      </c>
    </row>
    <row r="4" spans="1:6" ht="18.5" thickBot="1" x14ac:dyDescent="0.4">
      <c r="A4" s="310" t="s">
        <v>88</v>
      </c>
      <c r="B4" s="312" t="s">
        <v>89</v>
      </c>
      <c r="C4" s="313"/>
      <c r="D4" s="312" t="s">
        <v>90</v>
      </c>
      <c r="E4" s="314"/>
      <c r="F4" s="313"/>
    </row>
    <row r="5" spans="1:6" ht="15" thickBot="1" x14ac:dyDescent="0.4">
      <c r="A5" s="311"/>
      <c r="B5" s="146" t="s">
        <v>91</v>
      </c>
      <c r="C5" s="146" t="s">
        <v>92</v>
      </c>
      <c r="D5" s="147" t="s">
        <v>93</v>
      </c>
      <c r="E5" s="148" t="s">
        <v>94</v>
      </c>
      <c r="F5" s="149" t="s">
        <v>95</v>
      </c>
    </row>
    <row r="6" spans="1:6" ht="16" thickBot="1" x14ac:dyDescent="0.4">
      <c r="A6" s="162" t="s">
        <v>96</v>
      </c>
      <c r="B6" s="163" t="s">
        <v>239</v>
      </c>
      <c r="C6" s="164"/>
      <c r="D6" s="150"/>
      <c r="E6" s="171"/>
      <c r="F6" s="174"/>
    </row>
    <row r="7" spans="1:6" ht="28" x14ac:dyDescent="0.35">
      <c r="A7" s="175">
        <v>1</v>
      </c>
      <c r="B7" s="160" t="s">
        <v>97</v>
      </c>
      <c r="C7" s="156" t="s">
        <v>98</v>
      </c>
      <c r="D7" s="22">
        <f>(65*10)</f>
        <v>650</v>
      </c>
      <c r="E7" s="232"/>
      <c r="F7" s="45">
        <f>E7*D7</f>
        <v>0</v>
      </c>
    </row>
    <row r="8" spans="1:6" ht="42" x14ac:dyDescent="0.35">
      <c r="A8" s="21">
        <v>2</v>
      </c>
      <c r="B8" s="160" t="s">
        <v>99</v>
      </c>
      <c r="C8" s="156" t="s">
        <v>100</v>
      </c>
      <c r="D8" s="22">
        <f xml:space="preserve"> 35*(0.8*0.8*1.2)</f>
        <v>26.880000000000006</v>
      </c>
      <c r="E8" s="232"/>
      <c r="F8" s="45">
        <f>E8*D8</f>
        <v>0</v>
      </c>
    </row>
    <row r="9" spans="1:6" ht="56" x14ac:dyDescent="0.35">
      <c r="A9" s="21">
        <v>3</v>
      </c>
      <c r="B9" s="160" t="s">
        <v>101</v>
      </c>
      <c r="C9" s="156" t="s">
        <v>100</v>
      </c>
      <c r="D9" s="22">
        <f>(278.8*0.5*0.6)</f>
        <v>83.64</v>
      </c>
      <c r="E9" s="232"/>
      <c r="F9" s="45">
        <f t="shared" ref="F9:F33" si="0">E9*D9</f>
        <v>0</v>
      </c>
    </row>
    <row r="10" spans="1:6" ht="28" x14ac:dyDescent="0.35">
      <c r="A10" s="21">
        <v>4</v>
      </c>
      <c r="B10" s="160" t="s">
        <v>102</v>
      </c>
      <c r="C10" s="156" t="s">
        <v>100</v>
      </c>
      <c r="D10" s="22">
        <f>(278*0.5*0.05)+(35*0.8*0.8*0.05)</f>
        <v>8.07</v>
      </c>
      <c r="E10" s="232"/>
      <c r="F10" s="45">
        <f t="shared" si="0"/>
        <v>0</v>
      </c>
    </row>
    <row r="11" spans="1:6" ht="42" x14ac:dyDescent="0.35">
      <c r="A11" s="21">
        <v>5</v>
      </c>
      <c r="B11" s="160" t="s">
        <v>103</v>
      </c>
      <c r="C11" s="156" t="s">
        <v>100</v>
      </c>
      <c r="D11" s="22">
        <f>(278*0.4*0.9)</f>
        <v>100.08</v>
      </c>
      <c r="E11" s="232"/>
      <c r="F11" s="45">
        <f t="shared" si="0"/>
        <v>0</v>
      </c>
    </row>
    <row r="12" spans="1:6" ht="72.5" x14ac:dyDescent="0.35">
      <c r="A12" s="21">
        <v>6</v>
      </c>
      <c r="B12" s="160" t="s">
        <v>191</v>
      </c>
      <c r="C12" s="156" t="s">
        <v>100</v>
      </c>
      <c r="D12" s="23">
        <f>(278*0.4*0.2)</f>
        <v>22.240000000000002</v>
      </c>
      <c r="E12" s="233"/>
      <c r="F12" s="45">
        <f t="shared" si="0"/>
        <v>0</v>
      </c>
    </row>
    <row r="13" spans="1:6" ht="58" x14ac:dyDescent="0.35">
      <c r="A13" s="21">
        <v>7</v>
      </c>
      <c r="B13" s="187" t="s">
        <v>237</v>
      </c>
      <c r="C13" s="156" t="s">
        <v>100</v>
      </c>
      <c r="D13" s="23">
        <f>(35*0.7*0.7*0.3)</f>
        <v>5.1449999999999996</v>
      </c>
      <c r="E13" s="233"/>
      <c r="F13" s="45">
        <f t="shared" si="0"/>
        <v>0</v>
      </c>
    </row>
    <row r="14" spans="1:6" ht="58" x14ac:dyDescent="0.35">
      <c r="A14" s="21">
        <v>8</v>
      </c>
      <c r="B14" s="187" t="s">
        <v>238</v>
      </c>
      <c r="C14" s="156" t="s">
        <v>100</v>
      </c>
      <c r="D14" s="24">
        <f>(35*0.2*0.2*1)</f>
        <v>1.4000000000000001</v>
      </c>
      <c r="E14" s="234"/>
      <c r="F14" s="45">
        <f t="shared" si="0"/>
        <v>0</v>
      </c>
    </row>
    <row r="15" spans="1:6" ht="28" x14ac:dyDescent="0.35">
      <c r="A15" s="21">
        <v>9</v>
      </c>
      <c r="B15" s="160" t="s">
        <v>104</v>
      </c>
      <c r="C15" s="156" t="s">
        <v>100</v>
      </c>
      <c r="D15" s="25">
        <f>((64.4*10)-(278*0.4))*0.2</f>
        <v>106.56</v>
      </c>
      <c r="E15" s="232"/>
      <c r="F15" s="45">
        <f t="shared" si="0"/>
        <v>0</v>
      </c>
    </row>
    <row r="16" spans="1:6" ht="17" x14ac:dyDescent="0.35">
      <c r="A16" s="21">
        <v>10</v>
      </c>
      <c r="B16" s="160" t="s">
        <v>105</v>
      </c>
      <c r="C16" s="156" t="s">
        <v>100</v>
      </c>
      <c r="D16" s="25">
        <f>((64.4*10)-(278*0.4))*0.05</f>
        <v>26.64</v>
      </c>
      <c r="E16" s="232"/>
      <c r="F16" s="45">
        <f t="shared" si="0"/>
        <v>0</v>
      </c>
    </row>
    <row r="17" spans="1:6" ht="28" x14ac:dyDescent="0.35">
      <c r="A17" s="21">
        <v>11</v>
      </c>
      <c r="B17" s="160" t="s">
        <v>106</v>
      </c>
      <c r="C17" s="154" t="s">
        <v>98</v>
      </c>
      <c r="D17" s="26">
        <f>64.4*10</f>
        <v>644</v>
      </c>
      <c r="E17" s="233"/>
      <c r="F17" s="45">
        <f t="shared" si="0"/>
        <v>0</v>
      </c>
    </row>
    <row r="18" spans="1:6" ht="101.5" x14ac:dyDescent="0.35">
      <c r="A18" s="21">
        <v>12</v>
      </c>
      <c r="B18" s="160" t="s">
        <v>192</v>
      </c>
      <c r="C18" s="156" t="s">
        <v>100</v>
      </c>
      <c r="D18" s="24">
        <f>64.4*10*0.08</f>
        <v>51.52</v>
      </c>
      <c r="E18" s="232"/>
      <c r="F18" s="45">
        <f t="shared" si="0"/>
        <v>0</v>
      </c>
    </row>
    <row r="19" spans="1:6" ht="42" x14ac:dyDescent="0.35">
      <c r="A19" s="21">
        <v>13</v>
      </c>
      <c r="B19" s="160" t="s">
        <v>107</v>
      </c>
      <c r="C19" s="154" t="s">
        <v>98</v>
      </c>
      <c r="D19" s="26">
        <f>200*3-((1.2*1.2*5*8)+(2.2*1.2*8))</f>
        <v>521.28</v>
      </c>
      <c r="E19" s="232"/>
      <c r="F19" s="45">
        <f t="shared" si="0"/>
        <v>0</v>
      </c>
    </row>
    <row r="20" spans="1:6" ht="58" x14ac:dyDescent="0.35">
      <c r="A20" s="21">
        <v>14</v>
      </c>
      <c r="B20" s="160" t="s">
        <v>193</v>
      </c>
      <c r="C20" s="156" t="s">
        <v>100</v>
      </c>
      <c r="D20" s="24">
        <f>(1.75*0.2*0.15)*5*8</f>
        <v>2.1</v>
      </c>
      <c r="E20" s="234"/>
      <c r="F20" s="45">
        <f t="shared" si="0"/>
        <v>0</v>
      </c>
    </row>
    <row r="21" spans="1:6" ht="58" x14ac:dyDescent="0.35">
      <c r="A21" s="21">
        <v>15</v>
      </c>
      <c r="B21" s="160" t="s">
        <v>194</v>
      </c>
      <c r="C21" s="156" t="s">
        <v>100</v>
      </c>
      <c r="D21" s="24">
        <f>200*0.2*0.2</f>
        <v>8</v>
      </c>
      <c r="E21" s="234"/>
      <c r="F21" s="45">
        <f t="shared" si="0"/>
        <v>0</v>
      </c>
    </row>
    <row r="22" spans="1:6" ht="58" x14ac:dyDescent="0.35">
      <c r="A22" s="21">
        <v>16</v>
      </c>
      <c r="B22" s="160" t="s">
        <v>195</v>
      </c>
      <c r="C22" s="156" t="s">
        <v>100</v>
      </c>
      <c r="D22" s="25">
        <f>225*0.2*0.2</f>
        <v>9</v>
      </c>
      <c r="E22" s="232"/>
      <c r="F22" s="45">
        <f t="shared" si="0"/>
        <v>0</v>
      </c>
    </row>
    <row r="23" spans="1:6" ht="58" x14ac:dyDescent="0.35">
      <c r="A23" s="21">
        <v>17</v>
      </c>
      <c r="B23" s="160" t="s">
        <v>196</v>
      </c>
      <c r="C23" s="156" t="s">
        <v>100</v>
      </c>
      <c r="D23" s="25">
        <f>(0.2*0.2*3.8)*35</f>
        <v>5.3200000000000012</v>
      </c>
      <c r="E23" s="232"/>
      <c r="F23" s="45">
        <f t="shared" si="0"/>
        <v>0</v>
      </c>
    </row>
    <row r="24" spans="1:6" ht="84" x14ac:dyDescent="0.35">
      <c r="A24" s="21">
        <v>18</v>
      </c>
      <c r="B24" s="160" t="s">
        <v>108</v>
      </c>
      <c r="C24" s="154" t="s">
        <v>98</v>
      </c>
      <c r="D24" s="25">
        <f>64.4*10*1.5</f>
        <v>966</v>
      </c>
      <c r="E24" s="232"/>
      <c r="F24" s="45">
        <f t="shared" si="0"/>
        <v>0</v>
      </c>
    </row>
    <row r="25" spans="1:6" ht="42" x14ac:dyDescent="0.35">
      <c r="A25" s="21">
        <v>19</v>
      </c>
      <c r="B25" s="160" t="s">
        <v>109</v>
      </c>
      <c r="C25" s="156" t="s">
        <v>98</v>
      </c>
      <c r="D25" s="25">
        <f>9*64</f>
        <v>576</v>
      </c>
      <c r="E25" s="232"/>
      <c r="F25" s="45">
        <f t="shared" si="0"/>
        <v>0</v>
      </c>
    </row>
    <row r="26" spans="1:6" ht="42" x14ac:dyDescent="0.35">
      <c r="A26" s="21">
        <v>20</v>
      </c>
      <c r="B26" s="160" t="s">
        <v>110</v>
      </c>
      <c r="C26" s="2" t="s">
        <v>111</v>
      </c>
      <c r="D26" s="23">
        <v>1</v>
      </c>
      <c r="E26" s="233"/>
      <c r="F26" s="45">
        <f t="shared" si="0"/>
        <v>0</v>
      </c>
    </row>
    <row r="27" spans="1:6" ht="42" x14ac:dyDescent="0.35">
      <c r="A27" s="21">
        <v>21</v>
      </c>
      <c r="B27" s="160" t="s">
        <v>112</v>
      </c>
      <c r="C27" s="154" t="s">
        <v>98</v>
      </c>
      <c r="D27" s="27">
        <f>D19*2</f>
        <v>1042.56</v>
      </c>
      <c r="E27" s="235"/>
      <c r="F27" s="45">
        <f t="shared" si="0"/>
        <v>0</v>
      </c>
    </row>
    <row r="28" spans="1:6" ht="28" x14ac:dyDescent="0.35">
      <c r="A28" s="21">
        <v>22</v>
      </c>
      <c r="B28" s="160" t="s">
        <v>113</v>
      </c>
      <c r="C28" s="154" t="s">
        <v>98</v>
      </c>
      <c r="D28" s="27">
        <f>D27/2</f>
        <v>521.28</v>
      </c>
      <c r="E28" s="235"/>
      <c r="F28" s="45">
        <f t="shared" si="0"/>
        <v>0</v>
      </c>
    </row>
    <row r="29" spans="1:6" ht="28" x14ac:dyDescent="0.35">
      <c r="A29" s="21">
        <v>23</v>
      </c>
      <c r="B29" s="160" t="s">
        <v>114</v>
      </c>
      <c r="C29" s="156" t="s">
        <v>98</v>
      </c>
      <c r="D29" s="25">
        <f>D28</f>
        <v>521.28</v>
      </c>
      <c r="E29" s="235"/>
      <c r="F29" s="45">
        <f t="shared" si="0"/>
        <v>0</v>
      </c>
    </row>
    <row r="30" spans="1:6" ht="70" x14ac:dyDescent="0.35">
      <c r="A30" s="21">
        <v>24</v>
      </c>
      <c r="B30" s="160" t="s">
        <v>115</v>
      </c>
      <c r="C30" s="2" t="s">
        <v>75</v>
      </c>
      <c r="D30" s="28">
        <v>8</v>
      </c>
      <c r="E30" s="234"/>
      <c r="F30" s="45">
        <f t="shared" si="0"/>
        <v>0</v>
      </c>
    </row>
    <row r="31" spans="1:6" ht="98" x14ac:dyDescent="0.35">
      <c r="A31" s="21">
        <v>25</v>
      </c>
      <c r="B31" s="160" t="s">
        <v>116</v>
      </c>
      <c r="C31" s="2" t="s">
        <v>75</v>
      </c>
      <c r="D31" s="28">
        <f>8*5</f>
        <v>40</v>
      </c>
      <c r="E31" s="232"/>
      <c r="F31" s="45">
        <f t="shared" si="0"/>
        <v>0</v>
      </c>
    </row>
    <row r="32" spans="1:6" ht="98" x14ac:dyDescent="0.35">
      <c r="A32" s="21">
        <v>26</v>
      </c>
      <c r="B32" s="160" t="s">
        <v>117</v>
      </c>
      <c r="C32" s="2" t="s">
        <v>75</v>
      </c>
      <c r="D32" s="125">
        <v>2</v>
      </c>
      <c r="E32" s="236"/>
      <c r="F32" s="45">
        <f t="shared" si="0"/>
        <v>0</v>
      </c>
    </row>
    <row r="33" spans="1:6" ht="28.5" thickBot="1" x14ac:dyDescent="0.4">
      <c r="A33" s="21">
        <v>27</v>
      </c>
      <c r="B33" s="160" t="s">
        <v>118</v>
      </c>
      <c r="C33" s="4" t="s">
        <v>119</v>
      </c>
      <c r="D33" s="26">
        <v>8</v>
      </c>
      <c r="E33" s="237"/>
      <c r="F33" s="45">
        <f t="shared" si="0"/>
        <v>0</v>
      </c>
    </row>
    <row r="34" spans="1:6" ht="16" thickBot="1" x14ac:dyDescent="0.4">
      <c r="A34" s="176"/>
      <c r="B34" s="161"/>
      <c r="C34" s="158"/>
      <c r="D34" s="158"/>
      <c r="E34" s="173" t="str">
        <f>B6</f>
        <v>CONSTRUCTION OF  8 CLASSROOMS</v>
      </c>
      <c r="F34" s="159">
        <f>SUM(F7:F33)</f>
        <v>0</v>
      </c>
    </row>
    <row r="35" spans="1:6" s="55" customFormat="1" ht="16" thickBot="1" x14ac:dyDescent="0.4">
      <c r="A35" s="162" t="s">
        <v>120</v>
      </c>
      <c r="B35" s="163" t="s">
        <v>243</v>
      </c>
      <c r="C35" s="164"/>
      <c r="D35" s="150"/>
      <c r="E35" s="171"/>
      <c r="F35" s="174"/>
    </row>
    <row r="36" spans="1:6" s="55" customFormat="1" x14ac:dyDescent="0.35">
      <c r="A36" s="62"/>
      <c r="B36" s="92" t="s">
        <v>139</v>
      </c>
      <c r="C36" s="63"/>
      <c r="D36" s="64"/>
      <c r="E36" s="46"/>
      <c r="F36" s="118"/>
    </row>
    <row r="37" spans="1:6" s="55" customFormat="1" x14ac:dyDescent="0.35">
      <c r="A37" s="65"/>
      <c r="B37" s="66" t="s">
        <v>140</v>
      </c>
      <c r="C37" s="156"/>
      <c r="D37" s="10"/>
      <c r="E37" s="50"/>
      <c r="F37" s="50"/>
    </row>
    <row r="38" spans="1:6" s="55" customFormat="1" ht="43.5" x14ac:dyDescent="0.35">
      <c r="A38" s="10">
        <v>1</v>
      </c>
      <c r="B38" s="68" t="s">
        <v>141</v>
      </c>
      <c r="C38" s="156" t="s">
        <v>142</v>
      </c>
      <c r="D38" s="10">
        <f>4.4*4</f>
        <v>17.600000000000001</v>
      </c>
      <c r="E38" s="50"/>
      <c r="F38" s="50">
        <f t="shared" ref="F38:F84" si="1">D38*E38</f>
        <v>0</v>
      </c>
    </row>
    <row r="39" spans="1:6" s="55" customFormat="1" ht="29" x14ac:dyDescent="0.35">
      <c r="A39" s="10">
        <v>2</v>
      </c>
      <c r="B39" s="70" t="s">
        <v>143</v>
      </c>
      <c r="C39" s="156" t="s">
        <v>100</v>
      </c>
      <c r="D39" s="20">
        <f>2*3*5</f>
        <v>30</v>
      </c>
      <c r="E39" s="50"/>
      <c r="F39" s="50">
        <f t="shared" si="1"/>
        <v>0</v>
      </c>
    </row>
    <row r="40" spans="1:6" s="55" customFormat="1" ht="29" x14ac:dyDescent="0.35">
      <c r="A40" s="10">
        <v>3</v>
      </c>
      <c r="B40" s="70" t="s">
        <v>144</v>
      </c>
      <c r="C40" s="156" t="s">
        <v>100</v>
      </c>
      <c r="D40" s="12">
        <f>10*0.4</f>
        <v>4</v>
      </c>
      <c r="E40" s="50"/>
      <c r="F40" s="50">
        <f t="shared" si="1"/>
        <v>0</v>
      </c>
    </row>
    <row r="41" spans="1:6" s="55" customFormat="1" ht="43.5" x14ac:dyDescent="0.35">
      <c r="A41" s="10">
        <v>4</v>
      </c>
      <c r="B41" s="70" t="s">
        <v>145</v>
      </c>
      <c r="C41" s="156" t="s">
        <v>100</v>
      </c>
      <c r="D41" s="12">
        <f>23.2*0.4*0.3</f>
        <v>2.7839999999999998</v>
      </c>
      <c r="E41" s="50"/>
      <c r="F41" s="50">
        <f t="shared" si="1"/>
        <v>0</v>
      </c>
    </row>
    <row r="42" spans="1:6" s="55" customFormat="1" ht="43.5" x14ac:dyDescent="0.35">
      <c r="A42" s="10">
        <v>5</v>
      </c>
      <c r="B42" s="70" t="s">
        <v>146</v>
      </c>
      <c r="C42" s="156" t="s">
        <v>100</v>
      </c>
      <c r="D42" s="12">
        <f>23.2*0.4*0.05</f>
        <v>0.46399999999999997</v>
      </c>
      <c r="E42" s="50"/>
      <c r="F42" s="50">
        <f t="shared" si="1"/>
        <v>0</v>
      </c>
    </row>
    <row r="43" spans="1:6" s="55" customFormat="1" ht="58" x14ac:dyDescent="0.35">
      <c r="A43" s="10">
        <v>6</v>
      </c>
      <c r="B43" s="70" t="s">
        <v>147</v>
      </c>
      <c r="C43" s="156" t="s">
        <v>100</v>
      </c>
      <c r="D43" s="11">
        <f>23.2*0.4*0.6</f>
        <v>5.5679999999999996</v>
      </c>
      <c r="E43" s="50"/>
      <c r="F43" s="50">
        <f t="shared" si="1"/>
        <v>0</v>
      </c>
    </row>
    <row r="44" spans="1:6" s="55" customFormat="1" x14ac:dyDescent="0.35">
      <c r="A44" s="65"/>
      <c r="B44" s="66" t="s">
        <v>148</v>
      </c>
      <c r="C44" s="71"/>
      <c r="D44" s="2"/>
      <c r="E44" s="46"/>
      <c r="F44" s="50">
        <f t="shared" si="1"/>
        <v>0</v>
      </c>
    </row>
    <row r="45" spans="1:6" s="55" customFormat="1" ht="72.5" x14ac:dyDescent="0.35">
      <c r="A45" s="10">
        <v>7</v>
      </c>
      <c r="B45" s="70" t="s">
        <v>149</v>
      </c>
      <c r="C45" s="156" t="s">
        <v>100</v>
      </c>
      <c r="D45" s="11">
        <f>23.2*0.4*0.15</f>
        <v>1.3919999999999999</v>
      </c>
      <c r="E45" s="45"/>
      <c r="F45" s="50">
        <f t="shared" si="1"/>
        <v>0</v>
      </c>
    </row>
    <row r="46" spans="1:6" s="55" customFormat="1" ht="72.5" x14ac:dyDescent="0.35">
      <c r="A46" s="10">
        <v>8</v>
      </c>
      <c r="B46" s="70" t="s">
        <v>150</v>
      </c>
      <c r="C46" s="156" t="s">
        <v>100</v>
      </c>
      <c r="D46" s="11">
        <f>3.8*2.8*0.15</f>
        <v>1.5959999999999999</v>
      </c>
      <c r="E46" s="45"/>
      <c r="F46" s="50">
        <f t="shared" si="1"/>
        <v>0</v>
      </c>
    </row>
    <row r="47" spans="1:6" s="55" customFormat="1" x14ac:dyDescent="0.35">
      <c r="A47" s="65"/>
      <c r="B47" s="66" t="s">
        <v>151</v>
      </c>
      <c r="C47" s="10"/>
      <c r="D47" s="71"/>
      <c r="E47" s="45"/>
      <c r="F47" s="50">
        <f t="shared" si="1"/>
        <v>0</v>
      </c>
    </row>
    <row r="48" spans="1:6" s="55" customFormat="1" ht="29" x14ac:dyDescent="0.35">
      <c r="A48" s="10">
        <v>9</v>
      </c>
      <c r="B48" s="70" t="s">
        <v>152</v>
      </c>
      <c r="C48" s="156" t="s">
        <v>100</v>
      </c>
      <c r="D48" s="20">
        <f>((4.4*4)-(23.2*0.4))*0.2</f>
        <v>1.6640000000000006</v>
      </c>
      <c r="E48" s="45"/>
      <c r="F48" s="50">
        <f t="shared" si="1"/>
        <v>0</v>
      </c>
    </row>
    <row r="49" spans="1:6" s="55" customFormat="1" ht="29" x14ac:dyDescent="0.35">
      <c r="A49" s="10">
        <v>10</v>
      </c>
      <c r="B49" s="70" t="s">
        <v>153</v>
      </c>
      <c r="C49" s="156" t="s">
        <v>100</v>
      </c>
      <c r="D49" s="72">
        <f>((4.4*4)-(23.2*0.4))*0.2</f>
        <v>1.6640000000000006</v>
      </c>
      <c r="E49" s="45"/>
      <c r="F49" s="50">
        <f t="shared" si="1"/>
        <v>0</v>
      </c>
    </row>
    <row r="50" spans="1:6" s="55" customFormat="1" x14ac:dyDescent="0.35">
      <c r="A50" s="10"/>
      <c r="B50" s="66" t="s">
        <v>154</v>
      </c>
      <c r="C50" s="10"/>
      <c r="D50" s="73"/>
      <c r="E50" s="45"/>
      <c r="F50" s="50">
        <f t="shared" si="1"/>
        <v>0</v>
      </c>
    </row>
    <row r="51" spans="1:6" s="55" customFormat="1" ht="43.5" x14ac:dyDescent="0.35">
      <c r="A51" s="10">
        <v>11</v>
      </c>
      <c r="B51" s="70" t="s">
        <v>155</v>
      </c>
      <c r="C51" s="156" t="s">
        <v>100</v>
      </c>
      <c r="D51" s="73">
        <f>4.4*4*0.05</f>
        <v>0.88000000000000012</v>
      </c>
      <c r="E51" s="45"/>
      <c r="F51" s="50">
        <f t="shared" si="1"/>
        <v>0</v>
      </c>
    </row>
    <row r="52" spans="1:6" s="55" customFormat="1" ht="29" x14ac:dyDescent="0.35">
      <c r="A52" s="10">
        <v>12</v>
      </c>
      <c r="B52" s="74" t="s">
        <v>156</v>
      </c>
      <c r="C52" s="154" t="s">
        <v>98</v>
      </c>
      <c r="D52" s="2">
        <f>4*4</f>
        <v>16</v>
      </c>
      <c r="E52" s="45"/>
      <c r="F52" s="50">
        <f t="shared" si="1"/>
        <v>0</v>
      </c>
    </row>
    <row r="53" spans="1:6" s="55" customFormat="1" ht="43.5" x14ac:dyDescent="0.35">
      <c r="A53" s="10">
        <v>13</v>
      </c>
      <c r="B53" s="74" t="s">
        <v>157</v>
      </c>
      <c r="C53" s="156" t="s">
        <v>98</v>
      </c>
      <c r="D53" s="2">
        <f>2*((2*4*2)+4+1.7+4)</f>
        <v>51.4</v>
      </c>
      <c r="E53" s="45"/>
      <c r="F53" s="50">
        <f t="shared" si="1"/>
        <v>0</v>
      </c>
    </row>
    <row r="54" spans="1:6" s="55" customFormat="1" x14ac:dyDescent="0.35">
      <c r="A54" s="65"/>
      <c r="B54" s="95" t="s">
        <v>139</v>
      </c>
      <c r="C54" s="2"/>
      <c r="D54" s="75"/>
      <c r="E54" s="45"/>
      <c r="F54" s="50"/>
    </row>
    <row r="55" spans="1:6" s="55" customFormat="1" x14ac:dyDescent="0.35">
      <c r="A55" s="10"/>
      <c r="B55" s="76" t="s">
        <v>158</v>
      </c>
      <c r="C55" s="1"/>
      <c r="D55" s="1"/>
      <c r="E55" s="50"/>
      <c r="F55" s="50"/>
    </row>
    <row r="56" spans="1:6" s="55" customFormat="1" ht="43.5" x14ac:dyDescent="0.35">
      <c r="A56" s="10">
        <v>14</v>
      </c>
      <c r="B56" s="74" t="s">
        <v>159</v>
      </c>
      <c r="C56" s="156" t="s">
        <v>98</v>
      </c>
      <c r="D56" s="2">
        <f>21.5*3</f>
        <v>64.5</v>
      </c>
      <c r="E56" s="45"/>
      <c r="F56" s="50">
        <f t="shared" si="1"/>
        <v>0</v>
      </c>
    </row>
    <row r="57" spans="1:6" s="55" customFormat="1" x14ac:dyDescent="0.35">
      <c r="A57" s="10"/>
      <c r="B57" s="76" t="s">
        <v>160</v>
      </c>
      <c r="C57" s="1"/>
      <c r="D57" s="1"/>
      <c r="E57" s="46"/>
      <c r="F57" s="50">
        <f t="shared" si="1"/>
        <v>0</v>
      </c>
    </row>
    <row r="58" spans="1:6" s="55" customFormat="1" ht="72.5" x14ac:dyDescent="0.35">
      <c r="A58" s="10">
        <v>15</v>
      </c>
      <c r="B58" s="74" t="s">
        <v>161</v>
      </c>
      <c r="C58" s="156" t="s">
        <v>100</v>
      </c>
      <c r="D58" s="11">
        <f>21.5*0.15*0.15</f>
        <v>0.48375000000000001</v>
      </c>
      <c r="E58" s="45"/>
      <c r="F58" s="50">
        <f t="shared" si="1"/>
        <v>0</v>
      </c>
    </row>
    <row r="59" spans="1:6" s="55" customFormat="1" x14ac:dyDescent="0.35">
      <c r="A59" s="2"/>
      <c r="B59" s="66" t="s">
        <v>162</v>
      </c>
      <c r="C59" s="1"/>
      <c r="D59" s="1"/>
      <c r="E59" s="45"/>
      <c r="F59" s="50"/>
    </row>
    <row r="60" spans="1:6" s="55" customFormat="1" ht="43.5" x14ac:dyDescent="0.35">
      <c r="A60" s="2">
        <v>16</v>
      </c>
      <c r="B60" s="74" t="s">
        <v>163</v>
      </c>
      <c r="C60" s="10" t="s">
        <v>131</v>
      </c>
      <c r="D60" s="11">
        <v>1</v>
      </c>
      <c r="E60" s="45"/>
      <c r="F60" s="50">
        <f t="shared" si="1"/>
        <v>0</v>
      </c>
    </row>
    <row r="61" spans="1:6" s="55" customFormat="1" ht="43.5" x14ac:dyDescent="0.35">
      <c r="A61" s="2">
        <v>17</v>
      </c>
      <c r="B61" s="74" t="s">
        <v>164</v>
      </c>
      <c r="C61" s="10" t="s">
        <v>131</v>
      </c>
      <c r="D61" s="11">
        <v>1</v>
      </c>
      <c r="E61" s="45"/>
      <c r="F61" s="50">
        <f t="shared" si="1"/>
        <v>0</v>
      </c>
    </row>
    <row r="62" spans="1:6" s="55" customFormat="1" ht="29" x14ac:dyDescent="0.35">
      <c r="A62" s="2">
        <v>18</v>
      </c>
      <c r="B62" s="77" t="s">
        <v>165</v>
      </c>
      <c r="C62" s="2" t="s">
        <v>131</v>
      </c>
      <c r="D62" s="11">
        <v>1</v>
      </c>
      <c r="E62" s="45"/>
      <c r="F62" s="50">
        <f t="shared" si="1"/>
        <v>0</v>
      </c>
    </row>
    <row r="63" spans="1:6" s="55" customFormat="1" x14ac:dyDescent="0.35">
      <c r="A63" s="1"/>
      <c r="B63" s="95" t="s">
        <v>166</v>
      </c>
      <c r="C63" s="1"/>
      <c r="D63" s="1"/>
      <c r="E63" s="45"/>
      <c r="F63" s="50">
        <f t="shared" si="1"/>
        <v>0</v>
      </c>
    </row>
    <row r="64" spans="1:6" s="55" customFormat="1" ht="101.5" x14ac:dyDescent="0.35">
      <c r="A64" s="2">
        <v>19</v>
      </c>
      <c r="B64" s="74" t="s">
        <v>167</v>
      </c>
      <c r="C64" s="156" t="s">
        <v>98</v>
      </c>
      <c r="D64" s="11">
        <f>4.6*4*1.15</f>
        <v>21.159999999999997</v>
      </c>
      <c r="E64" s="45"/>
      <c r="F64" s="50">
        <f t="shared" si="1"/>
        <v>0</v>
      </c>
    </row>
    <row r="65" spans="1:6" s="55" customFormat="1" x14ac:dyDescent="0.35">
      <c r="A65" s="2">
        <v>20</v>
      </c>
      <c r="B65" s="1" t="s">
        <v>168</v>
      </c>
      <c r="C65" s="2" t="s">
        <v>169</v>
      </c>
      <c r="D65" s="11">
        <v>20</v>
      </c>
      <c r="E65" s="45"/>
      <c r="F65" s="50">
        <f t="shared" si="1"/>
        <v>0</v>
      </c>
    </row>
    <row r="66" spans="1:6" s="55" customFormat="1" x14ac:dyDescent="0.35">
      <c r="A66" s="1"/>
      <c r="B66" s="95" t="s">
        <v>170</v>
      </c>
      <c r="C66" s="1"/>
      <c r="D66" s="1"/>
      <c r="E66" s="45"/>
      <c r="F66" s="50">
        <f t="shared" si="1"/>
        <v>0</v>
      </c>
    </row>
    <row r="67" spans="1:6" s="55" customFormat="1" ht="29" x14ac:dyDescent="0.35">
      <c r="A67" s="2">
        <v>21</v>
      </c>
      <c r="B67" s="77" t="s">
        <v>171</v>
      </c>
      <c r="C67" s="156" t="s">
        <v>98</v>
      </c>
      <c r="D67" s="2">
        <f>(21.5*3)*2</f>
        <v>129</v>
      </c>
      <c r="E67" s="45"/>
      <c r="F67" s="50">
        <f t="shared" si="1"/>
        <v>0</v>
      </c>
    </row>
    <row r="68" spans="1:6" s="55" customFormat="1" ht="29" x14ac:dyDescent="0.35">
      <c r="A68" s="2">
        <v>22</v>
      </c>
      <c r="B68" s="77" t="s">
        <v>172</v>
      </c>
      <c r="C68" s="156" t="s">
        <v>98</v>
      </c>
      <c r="D68" s="2">
        <f>(21.5*1)*2</f>
        <v>43</v>
      </c>
      <c r="E68" s="45"/>
      <c r="F68" s="50">
        <f t="shared" si="1"/>
        <v>0</v>
      </c>
    </row>
    <row r="69" spans="1:6" s="55" customFormat="1" ht="43.5" x14ac:dyDescent="0.35">
      <c r="A69" s="2">
        <v>23</v>
      </c>
      <c r="B69" s="77" t="s">
        <v>173</v>
      </c>
      <c r="C69" s="156" t="s">
        <v>98</v>
      </c>
      <c r="D69" s="2">
        <f>D68</f>
        <v>43</v>
      </c>
      <c r="E69" s="45"/>
      <c r="F69" s="50">
        <f t="shared" si="1"/>
        <v>0</v>
      </c>
    </row>
    <row r="70" spans="1:6" s="55" customFormat="1" x14ac:dyDescent="0.35">
      <c r="A70" s="1"/>
      <c r="B70" s="95" t="s">
        <v>174</v>
      </c>
      <c r="C70" s="156"/>
      <c r="D70" s="1"/>
      <c r="E70" s="45"/>
      <c r="F70" s="50"/>
    </row>
    <row r="71" spans="1:6" s="55" customFormat="1" x14ac:dyDescent="0.35">
      <c r="A71" s="2"/>
      <c r="B71" s="76" t="s">
        <v>175</v>
      </c>
      <c r="C71" s="1"/>
      <c r="D71" s="1"/>
      <c r="E71" s="45"/>
      <c r="F71" s="50"/>
    </row>
    <row r="72" spans="1:6" s="55" customFormat="1" ht="43.5" x14ac:dyDescent="0.35">
      <c r="A72" s="2">
        <v>24</v>
      </c>
      <c r="B72" s="77" t="s">
        <v>176</v>
      </c>
      <c r="C72" s="2" t="s">
        <v>177</v>
      </c>
      <c r="D72" s="11">
        <v>2</v>
      </c>
      <c r="E72" s="45"/>
      <c r="F72" s="50">
        <f t="shared" si="1"/>
        <v>0</v>
      </c>
    </row>
    <row r="73" spans="1:6" s="55" customFormat="1" x14ac:dyDescent="0.35">
      <c r="A73" s="1"/>
      <c r="B73" s="76" t="s">
        <v>178</v>
      </c>
      <c r="C73" s="1"/>
      <c r="D73" s="1"/>
      <c r="E73" s="45"/>
      <c r="F73" s="50">
        <f t="shared" si="1"/>
        <v>0</v>
      </c>
    </row>
    <row r="74" spans="1:6" s="55" customFormat="1" ht="29" x14ac:dyDescent="0.35">
      <c r="A74" s="2">
        <v>25</v>
      </c>
      <c r="B74" s="74" t="s">
        <v>179</v>
      </c>
      <c r="C74" s="2" t="s">
        <v>177</v>
      </c>
      <c r="D74" s="11">
        <v>2</v>
      </c>
      <c r="E74" s="45"/>
      <c r="F74" s="50">
        <f t="shared" si="1"/>
        <v>0</v>
      </c>
    </row>
    <row r="75" spans="1:6" s="55" customFormat="1" x14ac:dyDescent="0.35">
      <c r="A75" s="2"/>
      <c r="B75" s="95" t="s">
        <v>180</v>
      </c>
      <c r="C75" s="2"/>
      <c r="D75" s="11"/>
      <c r="E75" s="45"/>
      <c r="F75" s="50"/>
    </row>
    <row r="76" spans="1:6" s="55" customFormat="1" x14ac:dyDescent="0.35">
      <c r="A76" s="2"/>
      <c r="B76" s="76" t="s">
        <v>181</v>
      </c>
      <c r="C76" s="1"/>
      <c r="D76" s="1"/>
      <c r="E76" s="45"/>
      <c r="F76" s="50"/>
    </row>
    <row r="77" spans="1:6" s="55" customFormat="1" x14ac:dyDescent="0.35">
      <c r="A77" s="2">
        <v>26</v>
      </c>
      <c r="B77" s="78" t="s">
        <v>182</v>
      </c>
      <c r="C77" s="2" t="s">
        <v>177</v>
      </c>
      <c r="D77" s="11">
        <v>1</v>
      </c>
      <c r="E77" s="45"/>
      <c r="F77" s="50">
        <f t="shared" si="1"/>
        <v>0</v>
      </c>
    </row>
    <row r="78" spans="1:6" s="55" customFormat="1" ht="29" x14ac:dyDescent="0.35">
      <c r="A78" s="2">
        <v>27</v>
      </c>
      <c r="B78" s="78" t="s">
        <v>183</v>
      </c>
      <c r="C78" s="2" t="s">
        <v>177</v>
      </c>
      <c r="D78" s="11">
        <v>1</v>
      </c>
      <c r="E78" s="45"/>
      <c r="F78" s="50">
        <f t="shared" si="1"/>
        <v>0</v>
      </c>
    </row>
    <row r="79" spans="1:6" s="55" customFormat="1" ht="43.5" x14ac:dyDescent="0.35">
      <c r="A79" s="2">
        <v>28</v>
      </c>
      <c r="B79" s="78" t="s">
        <v>184</v>
      </c>
      <c r="C79" s="2" t="s">
        <v>177</v>
      </c>
      <c r="D79" s="11">
        <v>1</v>
      </c>
      <c r="E79" s="45"/>
      <c r="F79" s="50">
        <f t="shared" si="1"/>
        <v>0</v>
      </c>
    </row>
    <row r="80" spans="1:6" s="55" customFormat="1" ht="29" x14ac:dyDescent="0.35">
      <c r="A80" s="2">
        <v>29</v>
      </c>
      <c r="B80" s="78" t="s">
        <v>185</v>
      </c>
      <c r="C80" s="2" t="s">
        <v>177</v>
      </c>
      <c r="D80" s="11">
        <v>2</v>
      </c>
      <c r="E80" s="45"/>
      <c r="F80" s="50">
        <f t="shared" si="1"/>
        <v>0</v>
      </c>
    </row>
    <row r="81" spans="1:25" s="55" customFormat="1" ht="29" x14ac:dyDescent="0.35">
      <c r="A81" s="2">
        <v>30</v>
      </c>
      <c r="B81" s="70" t="s">
        <v>186</v>
      </c>
      <c r="C81" s="2" t="s">
        <v>177</v>
      </c>
      <c r="D81" s="11">
        <v>2</v>
      </c>
      <c r="E81" s="45"/>
      <c r="F81" s="50">
        <f t="shared" si="1"/>
        <v>0</v>
      </c>
    </row>
    <row r="82" spans="1:25" s="55" customFormat="1" ht="29" x14ac:dyDescent="0.35">
      <c r="A82" s="2">
        <v>31</v>
      </c>
      <c r="B82" s="70" t="s">
        <v>187</v>
      </c>
      <c r="C82" s="2" t="s">
        <v>188</v>
      </c>
      <c r="D82" s="11">
        <v>1</v>
      </c>
      <c r="E82" s="45"/>
      <c r="F82" s="50">
        <f t="shared" si="1"/>
        <v>0</v>
      </c>
    </row>
    <row r="83" spans="1:25" s="55" customFormat="1" x14ac:dyDescent="0.35">
      <c r="A83" s="1"/>
      <c r="B83" s="95" t="s">
        <v>189</v>
      </c>
      <c r="C83" s="1"/>
      <c r="D83" s="1"/>
      <c r="E83" s="45"/>
      <c r="F83" s="50"/>
    </row>
    <row r="84" spans="1:25" s="55" customFormat="1" ht="29" x14ac:dyDescent="0.35">
      <c r="A84" s="2">
        <v>31</v>
      </c>
      <c r="B84" s="77" t="s">
        <v>190</v>
      </c>
      <c r="C84" s="2" t="s">
        <v>177</v>
      </c>
      <c r="D84" s="11">
        <v>2</v>
      </c>
      <c r="E84" s="45"/>
      <c r="F84" s="50">
        <f t="shared" si="1"/>
        <v>0</v>
      </c>
    </row>
    <row r="85" spans="1:25" ht="15" thickBot="1" x14ac:dyDescent="0.4">
      <c r="A85" s="2"/>
      <c r="B85" s="315" t="s">
        <v>241</v>
      </c>
      <c r="C85" s="316"/>
      <c r="D85" s="316"/>
      <c r="E85" s="317"/>
      <c r="F85" s="238">
        <f>SUM(F38:F84)</f>
        <v>0</v>
      </c>
      <c r="H85" s="5"/>
    </row>
    <row r="86" spans="1:25" s="55" customFormat="1" ht="16" thickBot="1" x14ac:dyDescent="0.4">
      <c r="A86" s="75"/>
      <c r="B86" s="161"/>
      <c r="C86" s="158"/>
      <c r="D86" s="158"/>
      <c r="E86" s="173" t="s">
        <v>242</v>
      </c>
      <c r="F86" s="159">
        <f>F85*2</f>
        <v>0</v>
      </c>
    </row>
    <row r="87" spans="1:25" s="55" customFormat="1" ht="16" thickBot="1" x14ac:dyDescent="0.4">
      <c r="A87" s="162" t="s">
        <v>121</v>
      </c>
      <c r="B87" s="163" t="s">
        <v>122</v>
      </c>
      <c r="C87" s="155"/>
      <c r="D87" s="155"/>
      <c r="E87" s="178"/>
      <c r="F87" s="179"/>
    </row>
    <row r="88" spans="1:25" x14ac:dyDescent="0.35">
      <c r="A88" s="189">
        <v>1</v>
      </c>
      <c r="B88" s="190" t="s">
        <v>123</v>
      </c>
      <c r="C88" s="154"/>
      <c r="D88" s="154"/>
      <c r="E88" s="172"/>
      <c r="F88" s="191"/>
    </row>
    <row r="89" spans="1:25" s="152" customFormat="1" ht="70" x14ac:dyDescent="0.3">
      <c r="A89" s="186">
        <v>1.1000000000000001</v>
      </c>
      <c r="B89" s="184" t="s">
        <v>124</v>
      </c>
      <c r="C89" s="154" t="s">
        <v>125</v>
      </c>
      <c r="D89" s="182">
        <f>(2.5*1.8*1.3)</f>
        <v>5.8500000000000005</v>
      </c>
      <c r="E89" s="183"/>
      <c r="F89" s="183">
        <f>D89*E89</f>
        <v>0</v>
      </c>
      <c r="G89" s="192"/>
      <c r="H89" s="192"/>
      <c r="I89" s="192"/>
      <c r="J89" s="192"/>
      <c r="K89" s="192"/>
      <c r="L89" s="192"/>
      <c r="M89" s="192"/>
      <c r="N89" s="192"/>
      <c r="O89" s="192"/>
      <c r="P89" s="192"/>
      <c r="Q89" s="192"/>
      <c r="R89" s="192"/>
      <c r="S89" s="192"/>
      <c r="T89" s="192"/>
      <c r="U89" s="192"/>
      <c r="V89" s="192"/>
      <c r="W89" s="192"/>
      <c r="X89" s="192"/>
      <c r="Y89" s="192"/>
    </row>
    <row r="90" spans="1:25" s="152" customFormat="1" ht="28" x14ac:dyDescent="0.3">
      <c r="A90" s="186">
        <v>1.2</v>
      </c>
      <c r="B90" s="184" t="s">
        <v>126</v>
      </c>
      <c r="C90" s="156" t="s">
        <v>98</v>
      </c>
      <c r="D90" s="182">
        <f>(((1.8+1.8+2+2)*1)+(1.8*2))</f>
        <v>11.2</v>
      </c>
      <c r="E90" s="183"/>
      <c r="F90" s="183">
        <f t="shared" ref="F90:F91" si="2">D90*E90</f>
        <v>0</v>
      </c>
      <c r="G90" s="192"/>
      <c r="H90" s="192"/>
      <c r="I90" s="192"/>
      <c r="J90" s="192"/>
      <c r="K90" s="192"/>
      <c r="L90" s="192"/>
      <c r="M90" s="192"/>
      <c r="N90" s="192"/>
      <c r="O90" s="192"/>
      <c r="P90" s="192"/>
      <c r="Q90" s="192"/>
      <c r="R90" s="192"/>
      <c r="S90" s="192"/>
      <c r="T90" s="192"/>
      <c r="U90" s="192"/>
      <c r="V90" s="192"/>
      <c r="W90" s="192"/>
      <c r="X90" s="192"/>
      <c r="Y90" s="192"/>
    </row>
    <row r="91" spans="1:25" s="152" customFormat="1" ht="28" x14ac:dyDescent="0.3">
      <c r="A91" s="186">
        <v>1.3</v>
      </c>
      <c r="B91" s="193" t="s">
        <v>127</v>
      </c>
      <c r="C91" s="156" t="s">
        <v>98</v>
      </c>
      <c r="D91" s="182">
        <f>D90</f>
        <v>11.2</v>
      </c>
      <c r="E91" s="183"/>
      <c r="F91" s="183">
        <f t="shared" si="2"/>
        <v>0</v>
      </c>
      <c r="G91" s="192"/>
      <c r="H91" s="192"/>
      <c r="I91" s="192"/>
      <c r="J91" s="192"/>
      <c r="K91" s="192"/>
      <c r="L91" s="192"/>
      <c r="M91" s="192"/>
      <c r="N91" s="192"/>
      <c r="O91" s="192"/>
      <c r="P91" s="192"/>
      <c r="Q91" s="192"/>
      <c r="R91" s="192"/>
      <c r="S91" s="192"/>
      <c r="T91" s="192"/>
      <c r="U91" s="192"/>
      <c r="V91" s="192"/>
      <c r="W91" s="192"/>
      <c r="X91" s="192"/>
      <c r="Y91" s="192"/>
    </row>
    <row r="92" spans="1:25" s="151" customFormat="1" ht="15.5" x14ac:dyDescent="0.35">
      <c r="A92" s="194">
        <v>2</v>
      </c>
      <c r="B92" s="170" t="s">
        <v>128</v>
      </c>
      <c r="C92" s="154"/>
      <c r="D92" s="154"/>
      <c r="E92" s="172"/>
      <c r="F92" s="191"/>
      <c r="P92" s="180"/>
      <c r="Q92" s="180"/>
      <c r="R92" s="180"/>
      <c r="S92" s="180"/>
      <c r="T92" s="180"/>
      <c r="U92" s="180"/>
      <c r="V92" s="181"/>
      <c r="W92" s="181"/>
      <c r="X92" s="180"/>
      <c r="Y92" s="180"/>
    </row>
    <row r="93" spans="1:25" s="152" customFormat="1" ht="70" x14ac:dyDescent="0.3">
      <c r="A93" s="186">
        <v>2.1</v>
      </c>
      <c r="B93" s="193" t="s">
        <v>129</v>
      </c>
      <c r="C93" s="185" t="s">
        <v>75</v>
      </c>
      <c r="D93" s="195">
        <v>1</v>
      </c>
      <c r="E93" s="183"/>
      <c r="F93" s="188">
        <f t="shared" ref="F93:F95" si="3">E93*D93</f>
        <v>0</v>
      </c>
      <c r="G93" s="153"/>
      <c r="H93" s="153"/>
      <c r="I93" s="153"/>
      <c r="J93" s="153"/>
      <c r="K93" s="153"/>
      <c r="L93" s="153"/>
      <c r="V93" s="153"/>
      <c r="W93" s="153"/>
      <c r="X93" s="153"/>
      <c r="Y93" s="153"/>
    </row>
    <row r="94" spans="1:25" s="152" customFormat="1" ht="56" x14ac:dyDescent="0.3">
      <c r="A94" s="186">
        <v>2.2000000000000002</v>
      </c>
      <c r="B94" s="193" t="s">
        <v>130</v>
      </c>
      <c r="C94" s="185" t="s">
        <v>131</v>
      </c>
      <c r="D94" s="195">
        <v>1</v>
      </c>
      <c r="E94" s="183"/>
      <c r="F94" s="188">
        <f t="shared" si="3"/>
        <v>0</v>
      </c>
      <c r="G94" s="153"/>
      <c r="H94" s="153"/>
      <c r="I94" s="153"/>
      <c r="J94" s="153"/>
      <c r="K94" s="153"/>
      <c r="L94" s="153"/>
      <c r="V94" s="153"/>
      <c r="W94" s="153"/>
      <c r="X94" s="153"/>
      <c r="Y94" s="153"/>
    </row>
    <row r="95" spans="1:25" s="152" customFormat="1" ht="70" x14ac:dyDescent="0.3">
      <c r="A95" s="186">
        <v>3.2</v>
      </c>
      <c r="B95" s="193" t="s">
        <v>132</v>
      </c>
      <c r="C95" s="185" t="s">
        <v>131</v>
      </c>
      <c r="D95" s="195">
        <v>1</v>
      </c>
      <c r="E95" s="183"/>
      <c r="F95" s="188">
        <f t="shared" si="3"/>
        <v>0</v>
      </c>
      <c r="G95" s="153"/>
      <c r="H95" s="153"/>
      <c r="I95" s="153"/>
      <c r="J95" s="153"/>
      <c r="K95" s="153"/>
      <c r="L95" s="153"/>
      <c r="V95" s="153"/>
      <c r="W95" s="153"/>
      <c r="X95" s="153"/>
      <c r="Y95" s="153"/>
    </row>
    <row r="96" spans="1:25" x14ac:dyDescent="0.35">
      <c r="A96" s="222">
        <v>3</v>
      </c>
      <c r="B96" s="223" t="s">
        <v>133</v>
      </c>
      <c r="C96" s="224"/>
      <c r="D96" s="225"/>
      <c r="E96" s="226"/>
      <c r="F96" s="227"/>
    </row>
    <row r="97" spans="1:16" ht="42.5" thickBot="1" x14ac:dyDescent="0.4">
      <c r="A97" s="228">
        <v>1.1000000000000001</v>
      </c>
      <c r="B97" s="229" t="s">
        <v>134</v>
      </c>
      <c r="C97" s="224" t="s">
        <v>135</v>
      </c>
      <c r="D97" s="225">
        <v>45</v>
      </c>
      <c r="E97" s="230"/>
      <c r="F97" s="231">
        <f t="shared" ref="F97" si="4">E97*D97</f>
        <v>0</v>
      </c>
    </row>
    <row r="98" spans="1:16" ht="16" thickBot="1" x14ac:dyDescent="0.4">
      <c r="A98" s="177"/>
      <c r="B98" s="157"/>
      <c r="C98" s="158"/>
      <c r="D98" s="158"/>
      <c r="E98" s="173" t="str">
        <f>B87</f>
        <v>NEW GROUND WATER TANK (1)</v>
      </c>
      <c r="F98" s="159">
        <f>SUM(F89:F97)</f>
        <v>0</v>
      </c>
    </row>
    <row r="99" spans="1:16" s="151" customFormat="1" ht="15.5" x14ac:dyDescent="0.35">
      <c r="A99" s="318" t="s">
        <v>136</v>
      </c>
      <c r="B99" s="319"/>
      <c r="C99" s="319"/>
      <c r="D99" s="319"/>
      <c r="E99" s="319"/>
      <c r="F99" s="320"/>
      <c r="G99" s="180"/>
      <c r="H99" s="180"/>
      <c r="I99" s="180"/>
      <c r="J99" s="180"/>
      <c r="K99" s="180"/>
      <c r="L99" s="180"/>
      <c r="M99" s="180"/>
      <c r="N99" s="180"/>
      <c r="O99" s="180"/>
    </row>
    <row r="100" spans="1:16" s="151" customFormat="1" ht="16" thickBot="1" x14ac:dyDescent="0.4">
      <c r="A100" s="321"/>
      <c r="B100" s="322"/>
      <c r="C100" s="322"/>
      <c r="D100" s="322"/>
      <c r="E100" s="322"/>
      <c r="F100" s="323"/>
      <c r="G100" s="180"/>
      <c r="H100" s="180"/>
      <c r="I100" s="180"/>
      <c r="J100" s="180"/>
      <c r="K100" s="180"/>
      <c r="L100" s="180"/>
      <c r="M100" s="180"/>
      <c r="N100" s="180"/>
      <c r="O100" s="180"/>
    </row>
    <row r="101" spans="1:16" s="151" customFormat="1" ht="15.5" x14ac:dyDescent="0.35">
      <c r="A101" s="165"/>
      <c r="B101" s="290" t="s">
        <v>137</v>
      </c>
      <c r="C101" s="291"/>
      <c r="D101" s="292"/>
      <c r="E101" s="293" t="s">
        <v>138</v>
      </c>
      <c r="F101" s="294"/>
      <c r="G101" s="180"/>
      <c r="H101" s="180"/>
      <c r="I101" s="180"/>
      <c r="J101" s="180"/>
      <c r="K101" s="180"/>
      <c r="L101" s="180"/>
      <c r="M101" s="180"/>
      <c r="N101" s="180"/>
      <c r="O101" s="180"/>
    </row>
    <row r="102" spans="1:16" s="151" customFormat="1" ht="15.5" x14ac:dyDescent="0.35">
      <c r="A102" s="166" t="str">
        <f>A6</f>
        <v>A</v>
      </c>
      <c r="B102" s="282" t="str">
        <f>B6</f>
        <v>CONSTRUCTION OF  8 CLASSROOMS</v>
      </c>
      <c r="C102" s="283"/>
      <c r="D102" s="284"/>
      <c r="E102" s="285">
        <f>F34</f>
        <v>0</v>
      </c>
      <c r="F102" s="286"/>
      <c r="G102" s="180"/>
      <c r="H102" s="180"/>
      <c r="I102" s="180"/>
      <c r="J102" s="180"/>
      <c r="K102" s="180"/>
      <c r="L102" s="180"/>
      <c r="M102" s="180"/>
      <c r="N102" s="180"/>
      <c r="O102" s="180"/>
    </row>
    <row r="103" spans="1:16" s="152" customFormat="1" ht="15.5" x14ac:dyDescent="0.3">
      <c r="A103" s="166" t="str">
        <f>A35</f>
        <v>B</v>
      </c>
      <c r="B103" s="282" t="str">
        <f>B35</f>
        <v>CONSTRUCTION FOR TWO TWIN LATERINES</v>
      </c>
      <c r="C103" s="283"/>
      <c r="D103" s="284"/>
      <c r="E103" s="285">
        <f>F86</f>
        <v>0</v>
      </c>
      <c r="F103" s="286"/>
      <c r="G103" s="153"/>
      <c r="H103" s="153"/>
      <c r="I103" s="153"/>
      <c r="J103" s="153"/>
      <c r="K103" s="153"/>
      <c r="L103" s="153"/>
      <c r="M103" s="153"/>
      <c r="N103" s="153"/>
      <c r="O103" s="153"/>
    </row>
    <row r="104" spans="1:16" s="152" customFormat="1" ht="16" thickBot="1" x14ac:dyDescent="0.35">
      <c r="A104" s="166" t="str">
        <f>A87</f>
        <v>C</v>
      </c>
      <c r="B104" s="282" t="str">
        <f>B87</f>
        <v>NEW GROUND WATER TANK (1)</v>
      </c>
      <c r="C104" s="283"/>
      <c r="D104" s="284"/>
      <c r="E104" s="285">
        <f>F98</f>
        <v>0</v>
      </c>
      <c r="F104" s="286"/>
      <c r="G104" s="153"/>
      <c r="H104" s="153"/>
      <c r="I104" s="153"/>
      <c r="J104" s="153"/>
      <c r="K104" s="153"/>
      <c r="L104" s="153"/>
      <c r="M104" s="153"/>
      <c r="N104" s="153"/>
      <c r="O104" s="153"/>
    </row>
    <row r="105" spans="1:16" s="152" customFormat="1" ht="18" thickBot="1" x14ac:dyDescent="0.35">
      <c r="A105" s="167"/>
      <c r="B105" s="287" t="str">
        <f>B3</f>
        <v>Hiran-Bile Primary School</v>
      </c>
      <c r="C105" s="288"/>
      <c r="D105" s="289"/>
      <c r="E105" s="220">
        <f>SUM(E102:F104)</f>
        <v>0</v>
      </c>
      <c r="F105" s="221"/>
      <c r="G105" s="153"/>
      <c r="H105" s="153"/>
      <c r="I105" s="153"/>
      <c r="J105" s="153"/>
      <c r="K105" s="153"/>
      <c r="L105" s="153"/>
      <c r="M105" s="153"/>
      <c r="N105" s="153"/>
      <c r="O105" s="153"/>
      <c r="P105" s="153"/>
    </row>
    <row r="117" s="55" customFormat="1" x14ac:dyDescent="0.35"/>
  </sheetData>
  <mergeCells count="20">
    <mergeCell ref="B105:D105"/>
    <mergeCell ref="B102:D102"/>
    <mergeCell ref="E102:F102"/>
    <mergeCell ref="B103:D103"/>
    <mergeCell ref="E103:F103"/>
    <mergeCell ref="B104:D104"/>
    <mergeCell ref="E104:F104"/>
    <mergeCell ref="B101:D101"/>
    <mergeCell ref="E101:F101"/>
    <mergeCell ref="B1:D1"/>
    <mergeCell ref="E1:F1"/>
    <mergeCell ref="A2:A3"/>
    <mergeCell ref="B2:C2"/>
    <mergeCell ref="D2:E3"/>
    <mergeCell ref="B3:C3"/>
    <mergeCell ref="A4:A5"/>
    <mergeCell ref="B4:C4"/>
    <mergeCell ref="D4:F4"/>
    <mergeCell ref="B85:E85"/>
    <mergeCell ref="A99:F10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29359-5754-49D0-9FE1-0F68DB9467E8}">
  <dimension ref="A1:N36"/>
  <sheetViews>
    <sheetView workbookViewId="0"/>
  </sheetViews>
  <sheetFormatPr defaultRowHeight="14.5" x14ac:dyDescent="0.35"/>
  <cols>
    <col min="1" max="1" width="11.6328125" bestFit="1" customWidth="1"/>
    <col min="2" max="2" width="61.453125" customWidth="1"/>
    <col min="3" max="3" width="5.54296875" bestFit="1" customWidth="1"/>
    <col min="4" max="4" width="10.36328125" style="5" bestFit="1" customWidth="1"/>
    <col min="5" max="5" width="11.453125" style="5" bestFit="1" customWidth="1"/>
    <col min="6" max="6" width="15.453125" style="5" customWidth="1"/>
    <col min="7" max="7" width="8" customWidth="1"/>
    <col min="8" max="8" width="10.453125" bestFit="1" customWidth="1"/>
    <col min="9" max="9" width="11.54296875" bestFit="1" customWidth="1"/>
    <col min="10" max="10" width="15.453125" bestFit="1" customWidth="1"/>
    <col min="11" max="11" width="10.453125" style="9" bestFit="1" customWidth="1"/>
    <col min="13" max="13" width="16" bestFit="1" customWidth="1"/>
    <col min="14" max="14" width="54" customWidth="1"/>
  </cols>
  <sheetData>
    <row r="1" spans="1:14" ht="44.4" customHeight="1" thickBot="1" x14ac:dyDescent="0.4">
      <c r="A1" s="144" t="s">
        <v>83</v>
      </c>
      <c r="B1" s="296" t="s">
        <v>84</v>
      </c>
      <c r="C1" s="296"/>
      <c r="D1" s="299"/>
      <c r="E1" s="298"/>
      <c r="F1" s="299"/>
      <c r="H1" s="56" t="s">
        <v>198</v>
      </c>
      <c r="I1" s="56"/>
      <c r="J1" s="56"/>
      <c r="K1" s="57" t="s">
        <v>199</v>
      </c>
    </row>
    <row r="2" spans="1:14" ht="37.5" thickBot="1" x14ac:dyDescent="0.4">
      <c r="A2" s="144" t="s">
        <v>72</v>
      </c>
      <c r="B2" s="330" t="s">
        <v>200</v>
      </c>
      <c r="C2" s="331"/>
      <c r="D2" s="332" t="s">
        <v>86</v>
      </c>
      <c r="E2" s="333"/>
      <c r="F2" s="145" t="s">
        <v>87</v>
      </c>
      <c r="H2" s="6" t="s">
        <v>201</v>
      </c>
      <c r="I2" s="7" t="s">
        <v>202</v>
      </c>
      <c r="J2" s="8" t="s">
        <v>77</v>
      </c>
      <c r="K2" s="6" t="s">
        <v>201</v>
      </c>
      <c r="L2" s="7" t="s">
        <v>202</v>
      </c>
      <c r="M2" s="8" t="s">
        <v>77</v>
      </c>
      <c r="N2" s="44" t="s">
        <v>203</v>
      </c>
    </row>
    <row r="3" spans="1:14" ht="18.5" thickBot="1" x14ac:dyDescent="0.4">
      <c r="A3" s="324" t="s">
        <v>88</v>
      </c>
      <c r="B3" s="326" t="s">
        <v>89</v>
      </c>
      <c r="C3" s="327"/>
      <c r="D3" s="328" t="s">
        <v>90</v>
      </c>
      <c r="E3" s="329"/>
      <c r="F3" s="327"/>
    </row>
    <row r="4" spans="1:14" ht="15" thickBot="1" x14ac:dyDescent="0.4">
      <c r="A4" s="325"/>
      <c r="B4" s="146" t="s">
        <v>91</v>
      </c>
      <c r="C4" s="146" t="s">
        <v>92</v>
      </c>
      <c r="D4" s="147" t="s">
        <v>93</v>
      </c>
      <c r="E4" s="148" t="s">
        <v>94</v>
      </c>
      <c r="F4" s="149" t="s">
        <v>95</v>
      </c>
    </row>
    <row r="5" spans="1:14" x14ac:dyDescent="0.35">
      <c r="A5" s="16" t="s">
        <v>96</v>
      </c>
      <c r="B5" s="18" t="s">
        <v>204</v>
      </c>
      <c r="C5" s="17"/>
      <c r="D5" s="17"/>
      <c r="E5" s="17"/>
      <c r="F5" s="17"/>
      <c r="H5" s="29"/>
      <c r="I5" s="19"/>
      <c r="J5" s="30"/>
      <c r="K5" s="41">
        <v>1</v>
      </c>
      <c r="L5" s="20">
        <v>5000</v>
      </c>
      <c r="M5" s="32">
        <f>K5*L5</f>
        <v>5000</v>
      </c>
    </row>
    <row r="6" spans="1:14" ht="29" x14ac:dyDescent="0.35">
      <c r="A6" s="2">
        <f>'4 Classrooms'!A6</f>
        <v>1</v>
      </c>
      <c r="B6" s="89" t="str">
        <f>'4 Classrooms'!B6</f>
        <v>Top soil stripping and removal of small trees and debris away from the site</v>
      </c>
      <c r="C6" s="2" t="str">
        <f>'4 Classrooms'!C6</f>
        <v>m2</v>
      </c>
      <c r="D6" s="22">
        <f>9.6*24.8</f>
        <v>238.07999999999998</v>
      </c>
      <c r="E6" s="45">
        <v>1</v>
      </c>
      <c r="F6" s="45">
        <f>E6*D6</f>
        <v>238.07999999999998</v>
      </c>
      <c r="H6" s="31">
        <f>9.6*24.8</f>
        <v>238.07999999999998</v>
      </c>
      <c r="I6" s="11">
        <v>1</v>
      </c>
      <c r="J6" s="32">
        <f t="shared" ref="J6:J31" si="0">H6*I6</f>
        <v>238.07999999999998</v>
      </c>
      <c r="K6" s="31">
        <f>15*(10*9)</f>
        <v>1350</v>
      </c>
      <c r="L6" s="11">
        <v>1</v>
      </c>
      <c r="M6" s="32">
        <f>K6*L6</f>
        <v>1350</v>
      </c>
    </row>
    <row r="7" spans="1:14" ht="43.5" x14ac:dyDescent="0.35">
      <c r="A7" s="2">
        <f>'4 Classrooms'!A7</f>
        <v>2</v>
      </c>
      <c r="B7" s="89" t="str">
        <f>'4 Classrooms'!B7</f>
        <v>Excavation of column footings of (80x80cm x 120cm deep) in all kinds of soils starting at natural ground level. Complete as per drawings and specifications.</v>
      </c>
      <c r="C7" s="2" t="str">
        <f>'4 Classrooms'!C7</f>
        <v>M3</v>
      </c>
      <c r="D7" s="22">
        <f>15*(0.8*0.8*1.2)</f>
        <v>11.520000000000001</v>
      </c>
      <c r="E7" s="45">
        <v>10</v>
      </c>
      <c r="F7" s="45">
        <f>E7*D7</f>
        <v>115.20000000000002</v>
      </c>
      <c r="H7" s="31"/>
      <c r="I7" s="11"/>
      <c r="J7" s="32"/>
      <c r="K7" s="31"/>
      <c r="L7" s="11"/>
      <c r="M7" s="32"/>
    </row>
    <row r="8" spans="1:14" ht="58" x14ac:dyDescent="0.35">
      <c r="A8" s="2">
        <f>'4 Classrooms'!A8</f>
        <v>3</v>
      </c>
      <c r="B8" s="89" t="str">
        <f>'4 Classrooms'!B8</f>
        <v>Excavation for linear foundation of (50cm wide and 60cm minimum depth)  in all kinds of soils starting at natural ground level. Price includes removal of surplus materials from site to an approved dumping area.</v>
      </c>
      <c r="C8" s="2" t="str">
        <f>'4 Classrooms'!C8</f>
        <v>M3</v>
      </c>
      <c r="D8" s="22">
        <f>(119.4*0.5*0.6)</f>
        <v>35.82</v>
      </c>
      <c r="E8" s="45">
        <v>10</v>
      </c>
      <c r="F8" s="45">
        <f t="shared" ref="F8:F32" si="1">E8*D8</f>
        <v>358.2</v>
      </c>
      <c r="H8" s="31">
        <f>(3*8.2*3+9*5)*0.5*0.7</f>
        <v>41.58</v>
      </c>
      <c r="I8" s="11">
        <v>5</v>
      </c>
      <c r="J8" s="32">
        <f t="shared" si="0"/>
        <v>207.89999999999998</v>
      </c>
      <c r="K8" s="31">
        <f>(15*8.2*3+16*9)*0.5*0.7</f>
        <v>179.54999999999998</v>
      </c>
      <c r="L8" s="11">
        <v>5</v>
      </c>
      <c r="M8" s="32">
        <f t="shared" ref="M8:M31" si="2">K8*L8</f>
        <v>897.74999999999989</v>
      </c>
    </row>
    <row r="9" spans="1:14" ht="29" x14ac:dyDescent="0.35">
      <c r="A9" s="2">
        <f>'4 Classrooms'!A9</f>
        <v>4</v>
      </c>
      <c r="B9" s="89" t="str">
        <f>'4 Classrooms'!B9</f>
        <v xml:space="preserve">5cm plain concrete blinding to the bottom of strip foundation and column footings </v>
      </c>
      <c r="C9" s="2" t="str">
        <f>'4 Classrooms'!C9</f>
        <v>m3</v>
      </c>
      <c r="D9" s="22">
        <f>(119.4*0.5*0.05)+(15*0.8*0.8*0.05)</f>
        <v>3.4650000000000003</v>
      </c>
      <c r="E9" s="45">
        <v>8</v>
      </c>
      <c r="F9" s="45">
        <f t="shared" si="1"/>
        <v>27.720000000000002</v>
      </c>
      <c r="H9" s="31">
        <f>(3*8.2*3+9*5)*0.05</f>
        <v>5.94</v>
      </c>
      <c r="I9" s="11">
        <v>8</v>
      </c>
      <c r="J9" s="32">
        <f t="shared" si="0"/>
        <v>47.52</v>
      </c>
      <c r="K9" s="31">
        <f>(15*8.2*3+16*9)*0.5</f>
        <v>256.5</v>
      </c>
      <c r="L9" s="11">
        <v>8</v>
      </c>
      <c r="M9" s="32">
        <f t="shared" si="2"/>
        <v>2052</v>
      </c>
    </row>
    <row r="10" spans="1:14" ht="43.5" x14ac:dyDescent="0.35">
      <c r="A10" s="2">
        <f>'4 Classrooms'!A10</f>
        <v>5</v>
      </c>
      <c r="B10" s="89" t="str">
        <f>'4 Classrooms'!B10</f>
        <v xml:space="preserve">Supply and construct solid stone foundation wall of 40cm thick, 50cm below ground level and 40cm above ground level. Bedded and jointed with 1:4 mix ratio of mortor </v>
      </c>
      <c r="C10" s="2" t="str">
        <f>'4 Classrooms'!C10</f>
        <v>m3</v>
      </c>
      <c r="D10" s="22">
        <f>(119.4*0.4*0.9)</f>
        <v>42.984000000000009</v>
      </c>
      <c r="E10" s="45">
        <v>60</v>
      </c>
      <c r="F10" s="45">
        <f t="shared" si="1"/>
        <v>2579.0400000000004</v>
      </c>
      <c r="H10" s="31">
        <f>(3*8.2*3+9*5)*0.9*0.4</f>
        <v>42.768000000000001</v>
      </c>
      <c r="I10" s="11">
        <v>60</v>
      </c>
      <c r="J10" s="32">
        <f t="shared" si="0"/>
        <v>2566.08</v>
      </c>
      <c r="K10" s="31">
        <f>(15*8.2*3+16*9)*0.9*0.4</f>
        <v>184.68</v>
      </c>
      <c r="L10" s="11">
        <v>50</v>
      </c>
      <c r="M10" s="32">
        <f t="shared" si="2"/>
        <v>9234</v>
      </c>
    </row>
    <row r="11" spans="1:14" ht="58" x14ac:dyDescent="0.35">
      <c r="A11" s="2">
        <f>'4 Classrooms'!A11</f>
        <v>6</v>
      </c>
      <c r="B11" s="89" t="str">
        <f>'4 Classrooms'!B11</f>
        <v>Ground Beam: 20x40cm RCC with mix ratio of 1:2:4 and  Reinforced with 4nos of high yield deformed  14mm steel bars and 8mm stirrups @ 20cm c/c. Prices to include framework and all required steps to perform the work properly.</v>
      </c>
      <c r="C11" s="2" t="str">
        <f>'4 Classrooms'!C11</f>
        <v>m3</v>
      </c>
      <c r="D11" s="23">
        <f>(119.4*0.4*0.2)</f>
        <v>9.5520000000000014</v>
      </c>
      <c r="E11" s="46">
        <v>300</v>
      </c>
      <c r="F11" s="45">
        <f t="shared" si="1"/>
        <v>2865.6000000000004</v>
      </c>
      <c r="H11" s="31">
        <f>(3*8.2*3+9*5)*0.2*0.4</f>
        <v>9.5040000000000013</v>
      </c>
      <c r="I11" s="12">
        <v>280</v>
      </c>
      <c r="J11" s="32">
        <f t="shared" si="0"/>
        <v>2661.1200000000003</v>
      </c>
      <c r="K11" s="31">
        <f>(15*8.2*3+16*7)*0.2*0.4</f>
        <v>38.479999999999997</v>
      </c>
      <c r="L11" s="12">
        <v>280</v>
      </c>
      <c r="M11" s="32">
        <f t="shared" si="2"/>
        <v>10774.4</v>
      </c>
    </row>
    <row r="12" spans="1:14" ht="43.5" x14ac:dyDescent="0.35">
      <c r="A12" s="2">
        <f>'4 Classrooms'!A12</f>
        <v>7</v>
      </c>
      <c r="B12" s="89" t="str">
        <f>'4 Classrooms'!B12</f>
        <v>Footing: 70x70x30cm RCC with mix ratio of 1:2:4, reinforced with Y14mm mesh @15cm c/c on both directions. Prices to include framework and all required steps to perform the work properly.</v>
      </c>
      <c r="C12" s="2" t="str">
        <f>'4 Classrooms'!C12</f>
        <v>m3</v>
      </c>
      <c r="D12" s="23">
        <f>(15*0.7*0.7*0.3)</f>
        <v>2.2049999999999996</v>
      </c>
      <c r="E12" s="46">
        <v>300</v>
      </c>
      <c r="F12" s="45">
        <f t="shared" si="1"/>
        <v>661.49999999999989</v>
      </c>
      <c r="H12" s="33">
        <f>(7*2+4)*(0.7*0.7*0.3)</f>
        <v>2.6459999999999995</v>
      </c>
      <c r="I12" s="12">
        <v>280</v>
      </c>
      <c r="J12" s="32">
        <f t="shared" si="0"/>
        <v>740.87999999999988</v>
      </c>
      <c r="K12" s="33">
        <f>(16*2+31)*(0.7*0.7*0.3)</f>
        <v>9.2609999999999975</v>
      </c>
      <c r="L12" s="12">
        <v>280</v>
      </c>
      <c r="M12" s="32">
        <f t="shared" si="2"/>
        <v>2593.0799999999995</v>
      </c>
    </row>
    <row r="13" spans="1:14" ht="43.5" x14ac:dyDescent="0.35">
      <c r="A13" s="2">
        <f>'4 Classrooms'!A13</f>
        <v>8</v>
      </c>
      <c r="B13" s="89" t="str">
        <f>'4 Classrooms'!B13</f>
        <v>Column Neck: 20x20cm RCC  with mix ratio of 1:2:4, Reinforced with 4Y14 and 8mm stirrups @ 20cm c/c. Prices to include framework and all required steps to perform the work properly..</v>
      </c>
      <c r="C13" s="2" t="str">
        <f>'4 Classrooms'!C13</f>
        <v>m3</v>
      </c>
      <c r="D13" s="24">
        <f>(15*0.2*0.2*1)</f>
        <v>0.60000000000000009</v>
      </c>
      <c r="E13" s="47">
        <v>300</v>
      </c>
      <c r="F13" s="45">
        <f t="shared" si="1"/>
        <v>180.00000000000003</v>
      </c>
      <c r="H13" s="33">
        <f>(8*2+7)*(1*0.2*0.2)</f>
        <v>0.92000000000000015</v>
      </c>
      <c r="I13" s="13">
        <v>280</v>
      </c>
      <c r="J13" s="32">
        <f t="shared" si="0"/>
        <v>257.60000000000002</v>
      </c>
      <c r="K13" s="33">
        <f>(16*2+31)*(1*0.2*0.2)</f>
        <v>2.5200000000000005</v>
      </c>
      <c r="L13" s="13">
        <v>280</v>
      </c>
      <c r="M13" s="32">
        <f t="shared" si="2"/>
        <v>705.60000000000014</v>
      </c>
    </row>
    <row r="14" spans="1:14" x14ac:dyDescent="0.35">
      <c r="A14" s="2">
        <f>'4 Classrooms'!A14</f>
        <v>9</v>
      </c>
      <c r="B14" s="89" t="str">
        <f>'4 Classrooms'!B14</f>
        <v xml:space="preserve">Foundation backfilling with hardcore in 20cm hand packed layers. </v>
      </c>
      <c r="C14" s="2" t="str">
        <f>'4 Classrooms'!C14</f>
        <v>m3</v>
      </c>
      <c r="D14" s="25">
        <f>((24.8*9.6)-(119.4*0.4))*0.2</f>
        <v>38.064</v>
      </c>
      <c r="E14" s="45">
        <v>20</v>
      </c>
      <c r="F14" s="45">
        <f t="shared" si="1"/>
        <v>761.28</v>
      </c>
      <c r="H14" s="34">
        <f>3*8*9*0.2</f>
        <v>43.2</v>
      </c>
      <c r="I14" s="11">
        <v>20</v>
      </c>
      <c r="J14" s="32">
        <f t="shared" si="0"/>
        <v>864</v>
      </c>
      <c r="K14" s="34">
        <f>15*8*9*0.2</f>
        <v>216</v>
      </c>
      <c r="L14" s="11">
        <v>20</v>
      </c>
      <c r="M14" s="32">
        <f t="shared" si="2"/>
        <v>4320</v>
      </c>
    </row>
    <row r="15" spans="1:14" x14ac:dyDescent="0.35">
      <c r="A15" s="2">
        <f>'4 Classrooms'!A15</f>
        <v>10</v>
      </c>
      <c r="B15" s="89" t="str">
        <f>'4 Classrooms'!B15</f>
        <v>5cm compacted murram blinding</v>
      </c>
      <c r="C15" s="2" t="str">
        <f>'4 Classrooms'!C15</f>
        <v>m3</v>
      </c>
      <c r="D15" s="25">
        <f>((24.8*9.6)-(119.4*0.4))*0.05</f>
        <v>9.516</v>
      </c>
      <c r="E15" s="45">
        <v>1</v>
      </c>
      <c r="F15" s="45">
        <f t="shared" si="1"/>
        <v>9.516</v>
      </c>
      <c r="H15" s="34">
        <f>3*8*9</f>
        <v>216</v>
      </c>
      <c r="I15" s="11">
        <v>1</v>
      </c>
      <c r="J15" s="32">
        <f t="shared" si="0"/>
        <v>216</v>
      </c>
      <c r="K15" s="34">
        <f>15*8*9</f>
        <v>1080</v>
      </c>
      <c r="L15" s="11">
        <v>1</v>
      </c>
      <c r="M15" s="32">
        <f t="shared" si="2"/>
        <v>1080</v>
      </c>
    </row>
    <row r="16" spans="1:14" ht="29" x14ac:dyDescent="0.35">
      <c r="A16" s="2">
        <f>'4 Classrooms'!A16</f>
        <v>11</v>
      </c>
      <c r="B16" s="89" t="str">
        <f>'4 Classrooms'!B16</f>
        <v xml:space="preserve">1000G DPM Polythene sheet laid over compacted murram surface to receive concrete. </v>
      </c>
      <c r="C16" s="2" t="str">
        <f>'4 Classrooms'!C16</f>
        <v>m2</v>
      </c>
      <c r="D16" s="26">
        <f>24.8*9.6</f>
        <v>238.07999999999998</v>
      </c>
      <c r="E16" s="46">
        <v>1</v>
      </c>
      <c r="F16" s="45">
        <f t="shared" si="1"/>
        <v>238.07999999999998</v>
      </c>
      <c r="H16" s="35">
        <f>H15</f>
        <v>216</v>
      </c>
      <c r="I16" s="12">
        <v>1</v>
      </c>
      <c r="J16" s="32">
        <f t="shared" si="0"/>
        <v>216</v>
      </c>
      <c r="K16" s="35">
        <f>K15</f>
        <v>1080</v>
      </c>
      <c r="L16" s="12">
        <v>1</v>
      </c>
      <c r="M16" s="32">
        <f t="shared" si="2"/>
        <v>1080</v>
      </c>
    </row>
    <row r="17" spans="1:13" ht="87" x14ac:dyDescent="0.35">
      <c r="A17" s="2">
        <f>'4 Classrooms'!A17</f>
        <v>12</v>
      </c>
      <c r="B17" s="89" t="str">
        <f>'4 Classrooms'!B17</f>
        <v>Ground Floor Slab: 8cm thick RCC with mix ratio of 1:2:4, reinforced with Y12 @ 15cm c/c on both directions. This includes 20cm high Teacher Platform. Concrete surface to be strictly finished with concrete helicopter to SCI engineers approval. No further finishing shall be done on top of the concrete. This. Prices to include framework and all required steps to perform the work properly.</v>
      </c>
      <c r="C17" s="2" t="str">
        <f>'4 Classrooms'!C17</f>
        <v>m3</v>
      </c>
      <c r="D17" s="24">
        <f>24.8*9.6*0.08</f>
        <v>19.046399999999998</v>
      </c>
      <c r="E17" s="45">
        <v>300</v>
      </c>
      <c r="F17" s="45">
        <f t="shared" si="1"/>
        <v>5713.9199999999992</v>
      </c>
      <c r="H17" s="34">
        <f>3*8*9*0.08</f>
        <v>17.28</v>
      </c>
      <c r="I17" s="11">
        <v>280</v>
      </c>
      <c r="J17" s="32">
        <f t="shared" si="0"/>
        <v>4838.4000000000005</v>
      </c>
      <c r="K17" s="34">
        <f>15*8*9*0.08</f>
        <v>86.4</v>
      </c>
      <c r="L17" s="11">
        <v>280</v>
      </c>
      <c r="M17" s="32">
        <f t="shared" si="2"/>
        <v>24192</v>
      </c>
    </row>
    <row r="18" spans="1:13" ht="43.5" x14ac:dyDescent="0.35">
      <c r="A18" s="2">
        <f>'4 Classrooms'!A18</f>
        <v>13</v>
      </c>
      <c r="B18" s="89" t="str">
        <f>'4 Classrooms'!B18</f>
        <v xml:space="preserve">Supply and construction of 20 cm thick Hallow Concrete Block walls (using 20cm*40cm*20cm hallow blcok walls), Bedded and jointed with 1:4 mix ratio of mortor. </v>
      </c>
      <c r="C18" s="2" t="str">
        <f>'4 Classrooms'!C18</f>
        <v>m2</v>
      </c>
      <c r="D18" s="26">
        <f>78.4*3-((1.2*1.2*5*3)+(2.2*1.2*3))</f>
        <v>205.68</v>
      </c>
      <c r="E18" s="45">
        <v>18</v>
      </c>
      <c r="F18" s="45">
        <f t="shared" si="1"/>
        <v>3702.2400000000002</v>
      </c>
      <c r="H18" s="31">
        <f>(3*8*2+5*7)*3.4</f>
        <v>282.2</v>
      </c>
      <c r="I18" s="11">
        <v>15</v>
      </c>
      <c r="J18" s="32">
        <f t="shared" si="0"/>
        <v>4233</v>
      </c>
      <c r="K18" s="31">
        <f>(15*8*2+16*7)*3-(5*1.2*1.2+1.2*2.1)*15</f>
        <v>910.2</v>
      </c>
      <c r="L18" s="11">
        <v>16</v>
      </c>
      <c r="M18" s="32">
        <f>K18*L18</f>
        <v>14563.2</v>
      </c>
    </row>
    <row r="19" spans="1:13" ht="43.5" x14ac:dyDescent="0.35">
      <c r="A19" s="2">
        <f>'4 Classrooms'!A19</f>
        <v>14</v>
      </c>
      <c r="B19" s="89" t="str">
        <f>'4 Classrooms'!B19</f>
        <v>Sill Beam: 20x15cm RCC beam below windows mix ratio of 1:2:4 and  Reinforced with 4Y8 and 6mm links @ 20cm c/c. Prices to include framework and all required steps to perform the work properly.</v>
      </c>
      <c r="C19" s="2" t="str">
        <f>'4 Classrooms'!C19</f>
        <v>m3</v>
      </c>
      <c r="D19" s="24">
        <f>(1.75*0.2*0.15)*5*3</f>
        <v>0.78750000000000009</v>
      </c>
      <c r="E19" s="47">
        <v>300</v>
      </c>
      <c r="F19" s="45">
        <f t="shared" si="1"/>
        <v>236.25000000000003</v>
      </c>
      <c r="H19" s="31">
        <f>(3*8*1.75)*0.2*0.15</f>
        <v>1.26</v>
      </c>
      <c r="I19" s="13">
        <v>280</v>
      </c>
      <c r="J19" s="32">
        <f>H19*I19</f>
        <v>352.8</v>
      </c>
      <c r="K19" s="31">
        <f>(15*8*1.75)*0.2*0.15</f>
        <v>6.3</v>
      </c>
      <c r="L19" s="13">
        <v>280</v>
      </c>
      <c r="M19" s="32">
        <f>K19*L19</f>
        <v>1764</v>
      </c>
    </row>
    <row r="20" spans="1:13" ht="43.5" x14ac:dyDescent="0.35">
      <c r="A20" s="2">
        <f>'4 Classrooms'!A20</f>
        <v>15</v>
      </c>
      <c r="B20" s="89" t="str">
        <f>'4 Classrooms'!B20</f>
        <v>Lintel Beam: 20x20cm RCC  with mix ratio of 1:2:4 and  Reinforced with 4Y12 and Y8 links @ 20cm c/c. Prices to include framework and all required steps to perform the work properly.</v>
      </c>
      <c r="C20" s="2" t="str">
        <f>'4 Classrooms'!C20</f>
        <v>m3</v>
      </c>
      <c r="D20" s="24">
        <f>78.4*0.2*0.2</f>
        <v>3.1360000000000006</v>
      </c>
      <c r="E20" s="47">
        <v>300</v>
      </c>
      <c r="F20" s="45">
        <f t="shared" si="1"/>
        <v>940.80000000000018</v>
      </c>
      <c r="H20" s="31">
        <f>(3*8.2*2+9*5)*0.2*0.2</f>
        <v>3.7680000000000002</v>
      </c>
      <c r="I20" s="13">
        <v>280</v>
      </c>
      <c r="J20" s="32">
        <f>H20*I20</f>
        <v>1055.04</v>
      </c>
      <c r="K20" s="31">
        <f>(15*8.4*2+7.2*16)*0.2*0.2</f>
        <v>14.688000000000001</v>
      </c>
      <c r="L20" s="13">
        <v>280</v>
      </c>
      <c r="M20" s="32">
        <f>K20*L20</f>
        <v>4112.6400000000003</v>
      </c>
    </row>
    <row r="21" spans="1:13" ht="43.5" x14ac:dyDescent="0.35">
      <c r="A21" s="2">
        <f>'4 Classrooms'!A21</f>
        <v>16</v>
      </c>
      <c r="B21" s="89" t="str">
        <f>'4 Classrooms'!B21</f>
        <v>Roof Beam: 20x30cm RCC mix ratio of 1:2:4 and  Reinforced with 4Y14 and Y8 links @ 20cm c/c. Prices to include framework and all required steps to perform the work properly.</v>
      </c>
      <c r="C21" s="2" t="str">
        <f>'4 Classrooms'!C21</f>
        <v>m3</v>
      </c>
      <c r="D21" s="25">
        <f>93.6*0.2*0.3</f>
        <v>5.6159999999999997</v>
      </c>
      <c r="E21" s="45">
        <v>300</v>
      </c>
      <c r="F21" s="45">
        <f t="shared" si="1"/>
        <v>1684.8</v>
      </c>
      <c r="H21" s="31">
        <f>(3*8.4*2+9*5)*0.2*0.3</f>
        <v>5.7240000000000002</v>
      </c>
      <c r="I21" s="11">
        <v>280</v>
      </c>
      <c r="J21" s="32">
        <f t="shared" si="0"/>
        <v>1602.72</v>
      </c>
      <c r="K21" s="31">
        <f>(15*8.2*3+16*7)*0.2*0.3</f>
        <v>28.859999999999996</v>
      </c>
      <c r="L21" s="11">
        <v>280</v>
      </c>
      <c r="M21" s="32">
        <f>K21*L21</f>
        <v>8080.7999999999993</v>
      </c>
    </row>
    <row r="22" spans="1:13" ht="58" x14ac:dyDescent="0.35">
      <c r="A22" s="2">
        <f>'4 Classrooms'!A22</f>
        <v>17</v>
      </c>
      <c r="B22" s="89" t="str">
        <f>'4 Classrooms'!B22</f>
        <v>Column: 20cmx20cm 3.8m height RCC  with mix ratio of 1:2:4 and  Reinforced with 4Y12 and Y8 links @ 20cm c/c. Prices to include framework and all required steps to perform the work properly as per specifications and drawing</v>
      </c>
      <c r="C22" s="2" t="str">
        <f>'4 Classrooms'!C22</f>
        <v>m3</v>
      </c>
      <c r="D22" s="25">
        <f>(0.2*0.2*3.8)*15</f>
        <v>2.2800000000000002</v>
      </c>
      <c r="E22" s="45">
        <v>300</v>
      </c>
      <c r="F22" s="45">
        <f t="shared" si="1"/>
        <v>684.00000000000011</v>
      </c>
      <c r="H22" s="36">
        <f>(0.2*0.2*3.8)*15</f>
        <v>2.2800000000000002</v>
      </c>
      <c r="I22" s="11">
        <v>280</v>
      </c>
      <c r="J22" s="32">
        <f t="shared" si="0"/>
        <v>638.40000000000009</v>
      </c>
      <c r="K22" s="33">
        <f>(16*2+31)*(3.2*0.2*0.2)</f>
        <v>8.0640000000000018</v>
      </c>
      <c r="L22" s="13">
        <v>280</v>
      </c>
      <c r="M22" s="32">
        <f>K22*L22</f>
        <v>2257.9200000000005</v>
      </c>
    </row>
    <row r="23" spans="1:13" ht="72.5" x14ac:dyDescent="0.35">
      <c r="A23" s="2">
        <f>'4 Classrooms'!A23</f>
        <v>18</v>
      </c>
      <c r="B23" s="89" t="str">
        <f>'4 Classrooms'!B23</f>
        <v>Supply and install new 28 Gauge first-class CGI/iron sheet (Bacweyne) on 80x40mm timber purlins, attached to 150x50mm timber trusses and rafters. 50x50 cm Ensure that the sheets are superposed with a 200mm overlap. Provide 150x50mm timber planks as tie beams for all trusses. 200X20 Facsia board. To SCI engineer approval</v>
      </c>
      <c r="C23" s="2" t="str">
        <f>'4 Classrooms'!C23</f>
        <v>m2</v>
      </c>
      <c r="D23" s="25">
        <f>24.8*9.6*1.5</f>
        <v>357.12</v>
      </c>
      <c r="E23" s="45">
        <v>20</v>
      </c>
      <c r="F23" s="45">
        <f t="shared" si="1"/>
        <v>7142.4</v>
      </c>
      <c r="H23" s="21">
        <f>(8.2*9.2*1.5)*3</f>
        <v>339.4799999999999</v>
      </c>
      <c r="I23" s="11">
        <v>20</v>
      </c>
      <c r="J23" s="32">
        <f t="shared" si="0"/>
        <v>6789.5999999999985</v>
      </c>
      <c r="K23" s="21">
        <f>15*8.3*9.6*1.5</f>
        <v>1792.8000000000002</v>
      </c>
      <c r="L23" s="11">
        <v>20</v>
      </c>
      <c r="M23" s="32">
        <f t="shared" si="2"/>
        <v>35856</v>
      </c>
    </row>
    <row r="24" spans="1:13" ht="29" x14ac:dyDescent="0.35">
      <c r="A24" s="2">
        <f>'4 Classrooms'!A24</f>
        <v>19</v>
      </c>
      <c r="B24" s="89" t="str">
        <f>'4 Classrooms'!B24</f>
        <v xml:space="preserve">Supply materials and install 5mm ceiling boards nailed on 4x4cm timber brandering at 60cm spacing and including cornice. </v>
      </c>
      <c r="C24" s="2" t="str">
        <f>'4 Classrooms'!C24</f>
        <v>m2</v>
      </c>
      <c r="D24" s="25">
        <f>24*9</f>
        <v>216</v>
      </c>
      <c r="E24" s="45">
        <v>8</v>
      </c>
      <c r="F24" s="45">
        <f t="shared" si="1"/>
        <v>1728</v>
      </c>
      <c r="H24" s="34">
        <f>(8*9)*3</f>
        <v>216</v>
      </c>
      <c r="I24" s="11">
        <v>8</v>
      </c>
      <c r="J24" s="32">
        <f t="shared" si="0"/>
        <v>1728</v>
      </c>
      <c r="K24" s="34">
        <f>K16</f>
        <v>1080</v>
      </c>
      <c r="L24" s="11">
        <v>8</v>
      </c>
      <c r="M24" s="32">
        <f t="shared" si="2"/>
        <v>8640</v>
      </c>
    </row>
    <row r="25" spans="1:13" ht="43.5" x14ac:dyDescent="0.35">
      <c r="A25" s="2">
        <f>'4 Classrooms'!A25</f>
        <v>20</v>
      </c>
      <c r="B25" s="89" t="str">
        <f>'4 Classrooms'!B25</f>
        <v>Allow provisional sum for electricity installations including ducting, wiring and lights, sockets, ceiling fans and distribution board to SCI engineer's approval.</v>
      </c>
      <c r="C25" s="2" t="str">
        <f>'4 Classrooms'!C25</f>
        <v>lsm</v>
      </c>
      <c r="D25" s="23">
        <v>1</v>
      </c>
      <c r="E25" s="46">
        <v>500</v>
      </c>
      <c r="F25" s="45">
        <f t="shared" si="1"/>
        <v>500</v>
      </c>
      <c r="H25" s="37">
        <v>1</v>
      </c>
      <c r="I25" s="12">
        <v>500</v>
      </c>
      <c r="J25" s="32">
        <f t="shared" si="0"/>
        <v>500</v>
      </c>
      <c r="K25" s="37">
        <v>1</v>
      </c>
      <c r="L25" s="12">
        <v>5000</v>
      </c>
      <c r="M25" s="32">
        <f t="shared" si="2"/>
        <v>5000</v>
      </c>
    </row>
    <row r="26" spans="1:13" ht="43.5" x14ac:dyDescent="0.35">
      <c r="A26" s="2">
        <f>'4 Classrooms'!A26</f>
        <v>21</v>
      </c>
      <c r="B26" s="89" t="str">
        <f>'4 Classrooms'!B26</f>
        <v>Apply 15 to 20mm thick plastering on iternal and  external faces  of Walls respectivley, with mix ratio of 1:3 guaged in three coats including surface smoothing</v>
      </c>
      <c r="C26" s="2" t="str">
        <f>'4 Classrooms'!C26</f>
        <v>m2</v>
      </c>
      <c r="D26" s="27">
        <f>D18*2</f>
        <v>411.36</v>
      </c>
      <c r="E26" s="48">
        <v>3</v>
      </c>
      <c r="F26" s="45">
        <f t="shared" si="1"/>
        <v>1234.08</v>
      </c>
      <c r="H26" s="31">
        <f>(3*8*2+4*7*2)*3.4</f>
        <v>353.59999999999997</v>
      </c>
      <c r="I26" s="14">
        <v>3</v>
      </c>
      <c r="J26" s="32">
        <f t="shared" si="0"/>
        <v>1060.8</v>
      </c>
      <c r="K26" s="31">
        <f>(15*8*2+15*7*2)*3.4-(5*1.2*1.2+1.2*2.1)*15</f>
        <v>1384.2</v>
      </c>
      <c r="L26" s="14">
        <v>3</v>
      </c>
      <c r="M26" s="32">
        <f t="shared" si="2"/>
        <v>4152.6000000000004</v>
      </c>
    </row>
    <row r="27" spans="1:13" ht="29" x14ac:dyDescent="0.35">
      <c r="A27" s="2">
        <f>'4 Classrooms'!A27</f>
        <v>22</v>
      </c>
      <c r="B27" s="89" t="str">
        <f>'4 Classrooms'!B27</f>
        <v xml:space="preserve">Apply one coat of white wash and 2 finishing coats of emulsion paint on internal wall surfaces. </v>
      </c>
      <c r="C27" s="2" t="str">
        <f>'4 Classrooms'!C27</f>
        <v>m2</v>
      </c>
      <c r="D27" s="27">
        <f>D26/2</f>
        <v>205.68</v>
      </c>
      <c r="E27" s="48">
        <v>3</v>
      </c>
      <c r="F27" s="45">
        <f t="shared" si="1"/>
        <v>617.04</v>
      </c>
      <c r="H27" s="37">
        <f>H26</f>
        <v>353.59999999999997</v>
      </c>
      <c r="I27" s="14">
        <v>3</v>
      </c>
      <c r="J27" s="32">
        <f t="shared" si="0"/>
        <v>1060.8</v>
      </c>
      <c r="K27" s="37">
        <f>K26</f>
        <v>1384.2</v>
      </c>
      <c r="L27" s="14">
        <v>3</v>
      </c>
      <c r="M27" s="32">
        <f t="shared" si="2"/>
        <v>4152.6000000000004</v>
      </c>
    </row>
    <row r="28" spans="1:13" ht="29" x14ac:dyDescent="0.35">
      <c r="A28" s="2">
        <f>'4 Classrooms'!A28</f>
        <v>23</v>
      </c>
      <c r="B28" s="89" t="str">
        <f>'4 Classrooms'!B28</f>
        <v xml:space="preserve">Apply white wash and 2 finishing coats of exterior paint on plastered external walls </v>
      </c>
      <c r="C28" s="2" t="str">
        <f>'4 Classrooms'!C28</f>
        <v>m2</v>
      </c>
      <c r="D28" s="25">
        <f>D27</f>
        <v>205.68</v>
      </c>
      <c r="E28" s="48">
        <v>3</v>
      </c>
      <c r="F28" s="45">
        <f t="shared" si="1"/>
        <v>617.04</v>
      </c>
      <c r="H28" s="38" t="e">
        <f>#REF!</f>
        <v>#REF!</v>
      </c>
      <c r="I28" s="14">
        <v>3</v>
      </c>
      <c r="J28" s="32" t="e">
        <f t="shared" si="0"/>
        <v>#REF!</v>
      </c>
      <c r="K28" s="38" t="e">
        <f>#REF!</f>
        <v>#REF!</v>
      </c>
      <c r="L28" s="14">
        <v>3</v>
      </c>
      <c r="M28" s="32" t="e">
        <f t="shared" si="2"/>
        <v>#REF!</v>
      </c>
    </row>
    <row r="29" spans="1:13" ht="58" x14ac:dyDescent="0.35">
      <c r="A29" s="2">
        <f>'4 Classrooms'!A29</f>
        <v>24</v>
      </c>
      <c r="B29" s="89" t="str">
        <f>'4 Classrooms'!B29</f>
        <v xml:space="preserve">Steel doors made of 1.5mm MS plate on 40x30x3mm steel box frame and 40x40x3mm angle lines as outer frame fixed with 6 dove tailed wall bars of similar size and industrial hinges. All painted with antirust primer and gloss paint. Door overall size 1.2x2.1m.  </v>
      </c>
      <c r="C29" s="2" t="str">
        <f>'4 Classrooms'!C29</f>
        <v>No</v>
      </c>
      <c r="D29" s="28">
        <v>3</v>
      </c>
      <c r="E29" s="47">
        <v>120</v>
      </c>
      <c r="F29" s="45">
        <f t="shared" si="1"/>
        <v>360</v>
      </c>
      <c r="H29" s="39">
        <v>3</v>
      </c>
      <c r="I29" s="13">
        <v>120</v>
      </c>
      <c r="J29" s="32">
        <f>I29*H29</f>
        <v>360</v>
      </c>
      <c r="K29" s="39">
        <v>15</v>
      </c>
      <c r="L29" s="13">
        <v>150</v>
      </c>
      <c r="M29" s="32">
        <v>900</v>
      </c>
    </row>
    <row r="30" spans="1:13" ht="87" x14ac:dyDescent="0.35">
      <c r="A30" s="2">
        <f>'4 Classrooms'!A30</f>
        <v>25</v>
      </c>
      <c r="B30" s="89" t="str">
        <f>'4 Classrooms'!B30</f>
        <v xml:space="preserve">Supply and install steel windows made of 1.5mm MS plate on 25x25x3mm steel box frames and outer frame of 25x25x3mm steel angle lines fixed with 6 dove taled angle line walls bars of same size and heavy duty hinges. Including security gril made of 20x20x2mm steel boxes at 15cm spacing and heavy duty diomond mesh plate. Window overall size 1.2x1.2m all painted with anti-corrosion paint. </v>
      </c>
      <c r="C30" s="2" t="str">
        <f>'4 Classrooms'!C30</f>
        <v>No</v>
      </c>
      <c r="D30" s="28">
        <f>3*5</f>
        <v>15</v>
      </c>
      <c r="E30" s="45">
        <v>90</v>
      </c>
      <c r="F30" s="45">
        <f t="shared" si="1"/>
        <v>1350</v>
      </c>
      <c r="H30" s="21">
        <f>3*5</f>
        <v>15</v>
      </c>
      <c r="I30" s="11">
        <v>90</v>
      </c>
      <c r="J30" s="32">
        <f t="shared" si="0"/>
        <v>1350</v>
      </c>
      <c r="K30" s="21">
        <f>5*15</f>
        <v>75</v>
      </c>
      <c r="L30" s="11">
        <v>125</v>
      </c>
      <c r="M30" s="32">
        <f t="shared" si="2"/>
        <v>9375</v>
      </c>
    </row>
    <row r="31" spans="1:13" ht="87" x14ac:dyDescent="0.35">
      <c r="A31" s="2">
        <f>'4 Classrooms'!A31</f>
        <v>26</v>
      </c>
      <c r="B31" s="89" t="s">
        <v>117</v>
      </c>
      <c r="C31" s="2" t="str">
        <f>'4 Classrooms'!C31</f>
        <v>No</v>
      </c>
      <c r="D31" s="125">
        <v>2</v>
      </c>
      <c r="E31" s="49">
        <v>500</v>
      </c>
      <c r="F31" s="45">
        <f t="shared" si="1"/>
        <v>1000</v>
      </c>
      <c r="H31" s="40">
        <v>2</v>
      </c>
      <c r="I31" s="15">
        <v>500</v>
      </c>
      <c r="J31" s="32">
        <f t="shared" si="0"/>
        <v>1000</v>
      </c>
      <c r="K31" s="40">
        <v>4</v>
      </c>
      <c r="L31" s="15">
        <v>500</v>
      </c>
      <c r="M31" s="32">
        <f t="shared" si="2"/>
        <v>2000</v>
      </c>
    </row>
    <row r="32" spans="1:13" ht="29" x14ac:dyDescent="0.35">
      <c r="A32" s="2">
        <f>'4 Classrooms'!A32</f>
        <v>27</v>
      </c>
      <c r="B32" s="89" t="str">
        <f>'4 Classrooms'!B32</f>
        <v>Supply and installation of 1.2x2.4m blackboard to SCI engineers approval</v>
      </c>
      <c r="C32" s="2" t="str">
        <f>'4 Classrooms'!C32</f>
        <v>no</v>
      </c>
      <c r="D32" s="26">
        <v>3</v>
      </c>
      <c r="E32" s="50">
        <v>100</v>
      </c>
      <c r="F32" s="45">
        <f t="shared" si="1"/>
        <v>300</v>
      </c>
      <c r="H32" s="41">
        <v>3</v>
      </c>
      <c r="I32" s="10">
        <v>100</v>
      </c>
      <c r="J32" s="32">
        <f>H32*I32</f>
        <v>300</v>
      </c>
      <c r="K32" s="41">
        <v>15</v>
      </c>
      <c r="L32" s="10">
        <v>100</v>
      </c>
      <c r="M32" s="32">
        <f>K32*L32</f>
        <v>1500</v>
      </c>
    </row>
    <row r="33" spans="1:13" ht="19" thickBot="1" x14ac:dyDescent="0.4">
      <c r="A33" s="16"/>
      <c r="B33" s="52"/>
      <c r="C33" s="52"/>
      <c r="D33" s="135"/>
      <c r="E33" s="138" t="s">
        <v>205</v>
      </c>
      <c r="F33" s="136">
        <f>SUM(F6:F32)</f>
        <v>35844.786</v>
      </c>
      <c r="H33" s="42"/>
      <c r="I33" s="43"/>
      <c r="J33" s="58" t="e">
        <f>SUM(J6:J32)</f>
        <v>#REF!</v>
      </c>
      <c r="K33" s="59"/>
      <c r="L33" s="60"/>
      <c r="M33" s="61" t="e">
        <f>SUM(M5:M32)</f>
        <v>#REF!</v>
      </c>
    </row>
    <row r="34" spans="1:13" x14ac:dyDescent="0.35">
      <c r="H34" s="3"/>
    </row>
    <row r="36" spans="1:13" x14ac:dyDescent="0.35">
      <c r="F36" s="137">
        <f>F33/3</f>
        <v>11948.262000000001</v>
      </c>
    </row>
  </sheetData>
  <mergeCells count="7">
    <mergeCell ref="A3:A4"/>
    <mergeCell ref="B3:C3"/>
    <mergeCell ref="D3:F3"/>
    <mergeCell ref="B1:D1"/>
    <mergeCell ref="E1:F1"/>
    <mergeCell ref="B2:C2"/>
    <mergeCell ref="D2:E2"/>
  </mergeCells>
  <phoneticPr fontId="4"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6952F-3DF9-485F-90FE-76EAB7BB827B}">
  <dimension ref="A1:H33"/>
  <sheetViews>
    <sheetView workbookViewId="0"/>
  </sheetViews>
  <sheetFormatPr defaultRowHeight="14.5" x14ac:dyDescent="0.35"/>
  <cols>
    <col min="2" max="2" width="52.6328125" style="143" customWidth="1"/>
    <col min="3" max="3" width="5.54296875" style="5" bestFit="1" customWidth="1"/>
    <col min="4" max="4" width="10.36328125" style="90" bestFit="1" customWidth="1"/>
    <col min="5" max="5" width="11.453125" bestFit="1" customWidth="1"/>
    <col min="6" max="6" width="15.453125" customWidth="1"/>
    <col min="7" max="7" width="8" customWidth="1"/>
    <col min="8" max="8" width="11.08984375" bestFit="1" customWidth="1"/>
  </cols>
  <sheetData>
    <row r="1" spans="1:6" ht="43.25" customHeight="1" thickBot="1" x14ac:dyDescent="0.4">
      <c r="A1" s="144" t="s">
        <v>83</v>
      </c>
      <c r="B1" s="295" t="s">
        <v>84</v>
      </c>
      <c r="C1" s="296"/>
      <c r="D1" s="297"/>
      <c r="E1" s="298"/>
      <c r="F1" s="299"/>
    </row>
    <row r="2" spans="1:6" ht="44" customHeight="1" thickBot="1" x14ac:dyDescent="0.4">
      <c r="A2" s="144" t="s">
        <v>72</v>
      </c>
      <c r="B2" s="337" t="s">
        <v>200</v>
      </c>
      <c r="C2" s="338"/>
      <c r="D2" s="332" t="s">
        <v>86</v>
      </c>
      <c r="E2" s="333"/>
      <c r="F2" s="145" t="s">
        <v>87</v>
      </c>
    </row>
    <row r="3" spans="1:6" ht="18.5" thickBot="1" x14ac:dyDescent="0.4">
      <c r="A3" s="334" t="s">
        <v>88</v>
      </c>
      <c r="B3" s="326" t="s">
        <v>89</v>
      </c>
      <c r="C3" s="335"/>
      <c r="D3" s="326" t="s">
        <v>90</v>
      </c>
      <c r="E3" s="336"/>
      <c r="F3" s="335"/>
    </row>
    <row r="4" spans="1:6" ht="15" thickBot="1" x14ac:dyDescent="0.4">
      <c r="A4" s="325"/>
      <c r="B4" s="146" t="s">
        <v>91</v>
      </c>
      <c r="C4" s="146" t="s">
        <v>92</v>
      </c>
      <c r="D4" s="147" t="s">
        <v>93</v>
      </c>
      <c r="E4" s="148" t="s">
        <v>94</v>
      </c>
      <c r="F4" s="149" t="s">
        <v>95</v>
      </c>
    </row>
    <row r="5" spans="1:6" x14ac:dyDescent="0.35">
      <c r="A5" s="16" t="s">
        <v>96</v>
      </c>
      <c r="B5" s="141" t="s">
        <v>206</v>
      </c>
      <c r="C5" s="17"/>
      <c r="D5" s="17"/>
      <c r="E5" s="17"/>
      <c r="F5" s="17"/>
    </row>
    <row r="6" spans="1:6" ht="29" x14ac:dyDescent="0.35">
      <c r="A6" s="69">
        <f>'4 Classrooms'!A6</f>
        <v>1</v>
      </c>
      <c r="B6" s="139" t="str">
        <f>'4 Classrooms'!B6</f>
        <v>Top soil stripping and removal of small trees and debris away from the site</v>
      </c>
      <c r="C6" s="69" t="str">
        <f>'4 Classrooms'!C6</f>
        <v>m2</v>
      </c>
      <c r="D6" s="22">
        <f>17*10</f>
        <v>170</v>
      </c>
      <c r="E6" s="45">
        <v>1</v>
      </c>
      <c r="F6" s="45">
        <f>E6*D6</f>
        <v>170</v>
      </c>
    </row>
    <row r="7" spans="1:6" ht="43.5" x14ac:dyDescent="0.35">
      <c r="A7" s="69">
        <f>'4 Classrooms'!A7</f>
        <v>2</v>
      </c>
      <c r="B7" s="139" t="str">
        <f>'4 Classrooms'!B7</f>
        <v>Excavation of column footings of (80x80cm x 120cm deep) in all kinds of soils starting at natural ground level. Complete as per drawings and specifications.</v>
      </c>
      <c r="C7" s="69" t="str">
        <f>'4 Classrooms'!C7</f>
        <v>M3</v>
      </c>
      <c r="D7" s="22"/>
      <c r="E7" s="45"/>
      <c r="F7" s="45"/>
    </row>
    <row r="8" spans="1:6" ht="58" x14ac:dyDescent="0.35">
      <c r="A8" s="69">
        <f>'4 Classrooms'!A8</f>
        <v>3</v>
      </c>
      <c r="B8" s="139" t="str">
        <f>'4 Classrooms'!B8</f>
        <v>Excavation for linear foundation of (50cm wide and 60cm minimum depth)  in all kinds of soils starting at natural ground level. Price includes removal of surplus materials from site to an approved dumping area.</v>
      </c>
      <c r="C8" s="69" t="str">
        <f>'4 Classrooms'!C8</f>
        <v>M3</v>
      </c>
      <c r="D8" s="22">
        <f>(81.8*0.5*0.6)+(11*0.8*0.8*1.2)</f>
        <v>32.988</v>
      </c>
      <c r="E8" s="45">
        <v>10</v>
      </c>
      <c r="F8" s="45">
        <f t="shared" ref="F8:F32" si="0">E8*D8</f>
        <v>329.88</v>
      </c>
    </row>
    <row r="9" spans="1:6" ht="29" x14ac:dyDescent="0.35">
      <c r="A9" s="69">
        <f>'4 Classrooms'!A9</f>
        <v>4</v>
      </c>
      <c r="B9" s="139" t="str">
        <f>'4 Classrooms'!B9</f>
        <v xml:space="preserve">5cm plain concrete blinding to the bottom of strip foundation and column footings </v>
      </c>
      <c r="C9" s="69" t="str">
        <f>'4 Classrooms'!C9</f>
        <v>m3</v>
      </c>
      <c r="D9" s="22">
        <f>(81.8*0.5*0.05)+(11*0.8*0.8*0.05)</f>
        <v>2.3970000000000002</v>
      </c>
      <c r="E9" s="45">
        <v>8</v>
      </c>
      <c r="F9" s="45">
        <f t="shared" si="0"/>
        <v>19.176000000000002</v>
      </c>
    </row>
    <row r="10" spans="1:6" ht="43.5" x14ac:dyDescent="0.35">
      <c r="A10" s="69">
        <f>'4 Classrooms'!A10</f>
        <v>5</v>
      </c>
      <c r="B10" s="139" t="str">
        <f>'4 Classrooms'!B10</f>
        <v xml:space="preserve">Supply and construct solid stone foundation wall of 40cm thick, 50cm below ground level and 40cm above ground level. Bedded and jointed with 1:4 mix ratio of mortor </v>
      </c>
      <c r="C10" s="69" t="str">
        <f>'4 Classrooms'!C10</f>
        <v>m3</v>
      </c>
      <c r="D10" s="22">
        <f>(81.8*0.4*0.9)</f>
        <v>29.448</v>
      </c>
      <c r="E10" s="45">
        <v>55</v>
      </c>
      <c r="F10" s="45">
        <f t="shared" si="0"/>
        <v>1619.64</v>
      </c>
    </row>
    <row r="11" spans="1:6" ht="72.5" x14ac:dyDescent="0.35">
      <c r="A11" s="69">
        <f>'4 Classrooms'!A11</f>
        <v>6</v>
      </c>
      <c r="B11" s="139" t="str">
        <f>'4 Classrooms'!B11</f>
        <v>Ground Beam: 20x40cm RCC with mix ratio of 1:2:4 and  Reinforced with 4nos of high yield deformed  14mm steel bars and 8mm stirrups @ 20cm c/c. Prices to include framework and all required steps to perform the work properly.</v>
      </c>
      <c r="C11" s="69" t="str">
        <f>'4 Classrooms'!C11</f>
        <v>m3</v>
      </c>
      <c r="D11" s="23">
        <f>(81.8*0.4*0.2)</f>
        <v>6.5440000000000005</v>
      </c>
      <c r="E11" s="46">
        <v>300</v>
      </c>
      <c r="F11" s="45">
        <f t="shared" si="0"/>
        <v>1963.2</v>
      </c>
    </row>
    <row r="12" spans="1:6" ht="58" x14ac:dyDescent="0.35">
      <c r="A12" s="69">
        <f>'4 Classrooms'!A12</f>
        <v>7</v>
      </c>
      <c r="B12" s="139" t="str">
        <f>'4 Classrooms'!B12</f>
        <v>Footing: 70x70x30cm RCC with mix ratio of 1:2:4, reinforced with Y14mm mesh @15cm c/c on both directions. Prices to include framework and all required steps to perform the work properly.</v>
      </c>
      <c r="C12" s="69" t="str">
        <f>'4 Classrooms'!C12</f>
        <v>m3</v>
      </c>
      <c r="D12" s="23">
        <f>(11*0.7*0.7*0.3)</f>
        <v>1.6169999999999995</v>
      </c>
      <c r="E12" s="46">
        <v>300</v>
      </c>
      <c r="F12" s="45">
        <f t="shared" si="0"/>
        <v>485.09999999999985</v>
      </c>
    </row>
    <row r="13" spans="1:6" ht="58" x14ac:dyDescent="0.35">
      <c r="A13" s="69">
        <f>'4 Classrooms'!A13</f>
        <v>8</v>
      </c>
      <c r="B13" s="139" t="str">
        <f>'4 Classrooms'!B13</f>
        <v>Column Neck: 20x20cm RCC  with mix ratio of 1:2:4, Reinforced with 4Y14 and 8mm stirrups @ 20cm c/c. Prices to include framework and all required steps to perform the work properly..</v>
      </c>
      <c r="C13" s="69" t="str">
        <f>'4 Classrooms'!C13</f>
        <v>m3</v>
      </c>
      <c r="D13" s="24">
        <f>(11*0.2*0.2*1)</f>
        <v>0.44000000000000006</v>
      </c>
      <c r="E13" s="47">
        <v>300</v>
      </c>
      <c r="F13" s="45">
        <f t="shared" si="0"/>
        <v>132.00000000000003</v>
      </c>
    </row>
    <row r="14" spans="1:6" ht="29" x14ac:dyDescent="0.35">
      <c r="A14" s="69">
        <f>'4 Classrooms'!A14</f>
        <v>9</v>
      </c>
      <c r="B14" s="139" t="str">
        <f>'4 Classrooms'!B14</f>
        <v xml:space="preserve">Foundation backfilling with hardcore in 20cm hand packed layers. </v>
      </c>
      <c r="C14" s="69" t="str">
        <f>'4 Classrooms'!C14</f>
        <v>m3</v>
      </c>
      <c r="D14" s="25">
        <f>((9.6*16.4)-(81.8*0.4))*0.2</f>
        <v>24.943999999999996</v>
      </c>
      <c r="E14" s="45">
        <v>20</v>
      </c>
      <c r="F14" s="45">
        <f t="shared" si="0"/>
        <v>498.87999999999988</v>
      </c>
    </row>
    <row r="15" spans="1:6" x14ac:dyDescent="0.35">
      <c r="A15" s="69">
        <f>'4 Classrooms'!A15</f>
        <v>10</v>
      </c>
      <c r="B15" s="139" t="str">
        <f>'4 Classrooms'!B15</f>
        <v>5cm compacted murram blinding</v>
      </c>
      <c r="C15" s="69" t="str">
        <f>'4 Classrooms'!C15</f>
        <v>m3</v>
      </c>
      <c r="D15" s="25">
        <f>((9.6*16.4)-(81.8*0.4))*0.05</f>
        <v>6.2359999999999989</v>
      </c>
      <c r="E15" s="45">
        <v>1</v>
      </c>
      <c r="F15" s="45">
        <f t="shared" si="0"/>
        <v>6.2359999999999989</v>
      </c>
    </row>
    <row r="16" spans="1:6" ht="29" x14ac:dyDescent="0.35">
      <c r="A16" s="69">
        <f>'4 Classrooms'!A16</f>
        <v>11</v>
      </c>
      <c r="B16" s="139" t="str">
        <f>'4 Classrooms'!B16</f>
        <v xml:space="preserve">1000G DPM Polythene sheet laid over compacted murram surface to receive concrete. </v>
      </c>
      <c r="C16" s="69" t="str">
        <f>'4 Classrooms'!C16</f>
        <v>m2</v>
      </c>
      <c r="D16" s="26">
        <f>16.4*9.6</f>
        <v>157.43999999999997</v>
      </c>
      <c r="E16" s="46">
        <v>1</v>
      </c>
      <c r="F16" s="45">
        <f t="shared" si="0"/>
        <v>157.43999999999997</v>
      </c>
    </row>
    <row r="17" spans="1:6" ht="101.5" x14ac:dyDescent="0.35">
      <c r="A17" s="69">
        <f>'4 Classrooms'!A17</f>
        <v>12</v>
      </c>
      <c r="B17" s="139" t="str">
        <f>'4 Classrooms'!B17</f>
        <v>Ground Floor Slab: 8cm thick RCC with mix ratio of 1:2:4, reinforced with Y12 @ 15cm c/c on both directions. This includes 20cm high Teacher Platform. Concrete surface to be strictly finished with concrete helicopter to SCI engineers approval. No further finishing shall be done on top of the concrete. This. Prices to include framework and all required steps to perform the work properly.</v>
      </c>
      <c r="C17" s="69" t="str">
        <f>'4 Classrooms'!C17</f>
        <v>m3</v>
      </c>
      <c r="D17" s="24">
        <f>16.4*9.6*0.08</f>
        <v>12.595199999999998</v>
      </c>
      <c r="E17" s="45">
        <v>300</v>
      </c>
      <c r="F17" s="45">
        <f t="shared" si="0"/>
        <v>3778.5599999999995</v>
      </c>
    </row>
    <row r="18" spans="1:6" ht="43.5" x14ac:dyDescent="0.35">
      <c r="A18" s="69">
        <f>'4 Classrooms'!A18</f>
        <v>13</v>
      </c>
      <c r="B18" s="139" t="str">
        <f>'4 Classrooms'!B18</f>
        <v xml:space="preserve">Supply and construction of 20 cm thick Hallow Concrete Block walls (using 20cm*40cm*20cm hallow blcok walls), Bedded and jointed with 1:4 mix ratio of mortor. </v>
      </c>
      <c r="C18" s="69" t="str">
        <f>'4 Classrooms'!C18</f>
        <v>m2</v>
      </c>
      <c r="D18" s="26">
        <f>54.4*3-((1.2*1.2*5*2)+(2.2*1.2*2))</f>
        <v>143.51999999999998</v>
      </c>
      <c r="E18" s="45">
        <v>18</v>
      </c>
      <c r="F18" s="45">
        <f t="shared" si="0"/>
        <v>2583.3599999999997</v>
      </c>
    </row>
    <row r="19" spans="1:6" ht="58" x14ac:dyDescent="0.35">
      <c r="A19" s="69">
        <f>'4 Classrooms'!A19</f>
        <v>14</v>
      </c>
      <c r="B19" s="139" t="str">
        <f>'4 Classrooms'!B19</f>
        <v>Sill Beam: 20x15cm RCC beam below windows mix ratio of 1:2:4 and  Reinforced with 4Y8 and 6mm links @ 20cm c/c. Prices to include framework and all required steps to perform the work properly.</v>
      </c>
      <c r="C19" s="69" t="str">
        <f>'4 Classrooms'!C19</f>
        <v>m3</v>
      </c>
      <c r="D19" s="24">
        <f>(1.75*0.2*0.15)*5*2</f>
        <v>0.52500000000000002</v>
      </c>
      <c r="E19" s="47">
        <v>300</v>
      </c>
      <c r="F19" s="45">
        <f t="shared" si="0"/>
        <v>157.5</v>
      </c>
    </row>
    <row r="20" spans="1:6" ht="58" x14ac:dyDescent="0.35">
      <c r="A20" s="69">
        <f>'4 Classrooms'!A20</f>
        <v>15</v>
      </c>
      <c r="B20" s="139" t="str">
        <f>'4 Classrooms'!B20</f>
        <v>Lintel Beam: 20x20cm RCC  with mix ratio of 1:2:4 and  Reinforced with 4Y12 and Y8 links @ 20cm c/c. Prices to include framework and all required steps to perform the work properly.</v>
      </c>
      <c r="C20" s="69" t="str">
        <f>'4 Classrooms'!C20</f>
        <v>m3</v>
      </c>
      <c r="D20" s="24">
        <f>54.4*0.2*0.2</f>
        <v>2.1760000000000002</v>
      </c>
      <c r="E20" s="47">
        <v>300</v>
      </c>
      <c r="F20" s="45">
        <f t="shared" si="0"/>
        <v>652.80000000000007</v>
      </c>
    </row>
    <row r="21" spans="1:6" ht="58" x14ac:dyDescent="0.35">
      <c r="A21" s="69">
        <f>'4 Classrooms'!A21</f>
        <v>16</v>
      </c>
      <c r="B21" s="139" t="str">
        <f>'4 Classrooms'!B21</f>
        <v>Roof Beam: 20x30cm RCC mix ratio of 1:2:4 and  Reinforced with 4Y14 and Y8 links @ 20cm c/c. Prices to include framework and all required steps to perform the work properly.</v>
      </c>
      <c r="C21" s="69" t="str">
        <f>'4 Classrooms'!C21</f>
        <v>m3</v>
      </c>
      <c r="D21" s="25">
        <f>68.4*0.2*0.3</f>
        <v>4.1040000000000001</v>
      </c>
      <c r="E21" s="45">
        <v>300</v>
      </c>
      <c r="F21" s="45">
        <f t="shared" si="0"/>
        <v>1231.2</v>
      </c>
    </row>
    <row r="22" spans="1:6" ht="58" x14ac:dyDescent="0.35">
      <c r="A22" s="69">
        <f>'4 Classrooms'!A22</f>
        <v>17</v>
      </c>
      <c r="B22" s="139" t="str">
        <f>'4 Classrooms'!B22</f>
        <v>Column: 20cmx20cm 3.8m height RCC  with mix ratio of 1:2:4 and  Reinforced with 4Y12 and Y8 links @ 20cm c/c. Prices to include framework and all required steps to perform the work properly as per specifications and drawing</v>
      </c>
      <c r="C22" s="69" t="str">
        <f>'4 Classrooms'!C22</f>
        <v>m3</v>
      </c>
      <c r="D22" s="25">
        <f>(0.2*0.2*3.8)*11</f>
        <v>1.6720000000000002</v>
      </c>
      <c r="E22" s="45">
        <v>300</v>
      </c>
      <c r="F22" s="45">
        <f t="shared" si="0"/>
        <v>501.6</v>
      </c>
    </row>
    <row r="23" spans="1:6" ht="87" x14ac:dyDescent="0.35">
      <c r="A23" s="69">
        <f>'4 Classrooms'!A23</f>
        <v>18</v>
      </c>
      <c r="B23" s="139" t="str">
        <f>'4 Classrooms'!B23</f>
        <v>Supply and install new 28 Gauge first-class CGI/iron sheet (Bacweyne) on 80x40mm timber purlins, attached to 150x50mm timber trusses and rafters. 50x50 cm Ensure that the sheets are superposed with a 200mm overlap. Provide 150x50mm timber planks as tie beams for all trusses. 200X20 Facsia board. To SCI engineer approval</v>
      </c>
      <c r="C23" s="69" t="str">
        <f>'4 Classrooms'!C23</f>
        <v>m2</v>
      </c>
      <c r="D23" s="25">
        <f>16.4*9.6*1.5</f>
        <v>236.15999999999997</v>
      </c>
      <c r="E23" s="45">
        <v>20</v>
      </c>
      <c r="F23" s="45">
        <f t="shared" si="0"/>
        <v>4723.1999999999989</v>
      </c>
    </row>
    <row r="24" spans="1:6" ht="43.5" x14ac:dyDescent="0.35">
      <c r="A24" s="69">
        <f>'4 Classrooms'!A24</f>
        <v>19</v>
      </c>
      <c r="B24" s="139" t="str">
        <f>'4 Classrooms'!B24</f>
        <v xml:space="preserve">Supply materials and install 5mm ceiling boards nailed on 4x4cm timber brandering at 60cm spacing and including cornice. </v>
      </c>
      <c r="C24" s="69" t="str">
        <f>'4 Classrooms'!C24</f>
        <v>m2</v>
      </c>
      <c r="D24" s="25">
        <f>9*16</f>
        <v>144</v>
      </c>
      <c r="E24" s="45">
        <v>8</v>
      </c>
      <c r="F24" s="45">
        <f t="shared" si="0"/>
        <v>1152</v>
      </c>
    </row>
    <row r="25" spans="1:6" ht="43.5" x14ac:dyDescent="0.35">
      <c r="A25" s="69">
        <f>'4 Classrooms'!A25</f>
        <v>20</v>
      </c>
      <c r="B25" s="139" t="str">
        <f>'4 Classrooms'!B25</f>
        <v>Allow provisional sum for electricity installations including ducting, wiring and lights, sockets, ceiling fans and distribution board to SCI engineer's approval.</v>
      </c>
      <c r="C25" s="69" t="str">
        <f>'4 Classrooms'!C25</f>
        <v>lsm</v>
      </c>
      <c r="D25" s="23">
        <v>1</v>
      </c>
      <c r="E25" s="46">
        <v>500</v>
      </c>
      <c r="F25" s="45">
        <f t="shared" si="0"/>
        <v>500</v>
      </c>
    </row>
    <row r="26" spans="1:6" ht="43.5" x14ac:dyDescent="0.35">
      <c r="A26" s="69">
        <f>'4 Classrooms'!A26</f>
        <v>21</v>
      </c>
      <c r="B26" s="139" t="str">
        <f>'4 Classrooms'!B26</f>
        <v>Apply 15 to 20mm thick plastering on iternal and  external faces  of Walls respectivley, with mix ratio of 1:3 guaged in three coats including surface smoothing</v>
      </c>
      <c r="C26" s="69" t="str">
        <f>'4 Classrooms'!C26</f>
        <v>m2</v>
      </c>
      <c r="D26" s="27">
        <f>D18*2</f>
        <v>287.03999999999996</v>
      </c>
      <c r="E26" s="48">
        <v>3</v>
      </c>
      <c r="F26" s="45">
        <f t="shared" si="0"/>
        <v>861.11999999999989</v>
      </c>
    </row>
    <row r="27" spans="1:6" ht="29" x14ac:dyDescent="0.35">
      <c r="A27" s="69">
        <f>'4 Classrooms'!A27</f>
        <v>22</v>
      </c>
      <c r="B27" s="139" t="str">
        <f>'4 Classrooms'!B27</f>
        <v xml:space="preserve">Apply one coat of white wash and 2 finishing coats of emulsion paint on internal wall surfaces. </v>
      </c>
      <c r="C27" s="69" t="str">
        <f>'4 Classrooms'!C27</f>
        <v>m2</v>
      </c>
      <c r="D27" s="27">
        <f>D26/2</f>
        <v>143.51999999999998</v>
      </c>
      <c r="E27" s="48">
        <v>3</v>
      </c>
      <c r="F27" s="45">
        <f t="shared" si="0"/>
        <v>430.55999999999995</v>
      </c>
    </row>
    <row r="28" spans="1:6" ht="29" x14ac:dyDescent="0.35">
      <c r="A28" s="69">
        <f>'4 Classrooms'!A28</f>
        <v>23</v>
      </c>
      <c r="B28" s="139" t="str">
        <f>'4 Classrooms'!B28</f>
        <v xml:space="preserve">Apply white wash and 2 finishing coats of exterior paint on plastered external walls </v>
      </c>
      <c r="C28" s="69" t="str">
        <f>'4 Classrooms'!C28</f>
        <v>m2</v>
      </c>
      <c r="D28" s="25">
        <f>D27</f>
        <v>143.51999999999998</v>
      </c>
      <c r="E28" s="48">
        <v>3</v>
      </c>
      <c r="F28" s="45">
        <f t="shared" si="0"/>
        <v>430.55999999999995</v>
      </c>
    </row>
    <row r="29" spans="1:6" ht="72.5" x14ac:dyDescent="0.35">
      <c r="A29" s="69">
        <f>'4 Classrooms'!A29</f>
        <v>24</v>
      </c>
      <c r="B29" s="139" t="str">
        <f>'4 Classrooms'!B29</f>
        <v xml:space="preserve">Steel doors made of 1.5mm MS plate on 40x30x3mm steel box frame and 40x40x3mm angle lines as outer frame fixed with 6 dove tailed wall bars of similar size and industrial hinges. All painted with antirust primer and gloss paint. Door overall size 1.2x2.1m.  </v>
      </c>
      <c r="C29" s="69" t="str">
        <f>'4 Classrooms'!C29</f>
        <v>No</v>
      </c>
      <c r="D29" s="28">
        <v>2</v>
      </c>
      <c r="E29" s="47">
        <v>120</v>
      </c>
      <c r="F29" s="45">
        <f t="shared" si="0"/>
        <v>240</v>
      </c>
    </row>
    <row r="30" spans="1:6" ht="101.5" x14ac:dyDescent="0.35">
      <c r="A30" s="69">
        <f>'4 Classrooms'!A30</f>
        <v>25</v>
      </c>
      <c r="B30" s="139" t="str">
        <f>'4 Classrooms'!B30</f>
        <v xml:space="preserve">Supply and install steel windows made of 1.5mm MS plate on 25x25x3mm steel box frames and outer frame of 25x25x3mm steel angle lines fixed with 6 dove taled angle line walls bars of same size and heavy duty hinges. Including security gril made of 20x20x2mm steel boxes at 15cm spacing and heavy duty diomond mesh plate. Window overall size 1.2x1.2m all painted with anti-corrosion paint. </v>
      </c>
      <c r="C30" s="69" t="str">
        <f>'4 Classrooms'!C30</f>
        <v>No</v>
      </c>
      <c r="D30" s="28">
        <f>2*5</f>
        <v>10</v>
      </c>
      <c r="E30" s="45">
        <v>90</v>
      </c>
      <c r="F30" s="45">
        <f t="shared" si="0"/>
        <v>900</v>
      </c>
    </row>
    <row r="31" spans="1:6" ht="101.5" x14ac:dyDescent="0.35">
      <c r="A31" s="69">
        <f>'4 Classrooms'!A31</f>
        <v>26</v>
      </c>
      <c r="B31" s="139" t="s">
        <v>117</v>
      </c>
      <c r="C31" s="69" t="str">
        <f>'4 Classrooms'!C31</f>
        <v>No</v>
      </c>
      <c r="D31" s="125">
        <v>1</v>
      </c>
      <c r="E31" s="49">
        <v>500</v>
      </c>
      <c r="F31" s="45">
        <f t="shared" si="0"/>
        <v>500</v>
      </c>
    </row>
    <row r="32" spans="1:6" ht="29" x14ac:dyDescent="0.35">
      <c r="A32" s="69">
        <f>'4 Classrooms'!A32</f>
        <v>27</v>
      </c>
      <c r="B32" s="139" t="str">
        <f>'4 Classrooms'!B32</f>
        <v>Supply and installation of 1.2x2.4m blackboard to SCI engineers approval</v>
      </c>
      <c r="C32" s="69" t="str">
        <f>'4 Classrooms'!C32</f>
        <v>no</v>
      </c>
      <c r="D32" s="26">
        <v>2</v>
      </c>
      <c r="E32" s="50">
        <v>100</v>
      </c>
      <c r="F32" s="45">
        <f t="shared" si="0"/>
        <v>200</v>
      </c>
    </row>
    <row r="33" spans="1:8" ht="18.5" x14ac:dyDescent="0.45">
      <c r="A33" s="16"/>
      <c r="B33" s="142"/>
      <c r="C33" s="140"/>
      <c r="D33" s="126"/>
      <c r="E33" s="53" t="s">
        <v>207</v>
      </c>
      <c r="F33" s="54">
        <f>SUM(F6:F32)</f>
        <v>24224.011999999999</v>
      </c>
      <c r="H33" s="51">
        <f>F33/2</f>
        <v>12112.005999999999</v>
      </c>
    </row>
  </sheetData>
  <mergeCells count="7">
    <mergeCell ref="A3:A4"/>
    <mergeCell ref="B3:C3"/>
    <mergeCell ref="D3:F3"/>
    <mergeCell ref="B1:D1"/>
    <mergeCell ref="E1:F1"/>
    <mergeCell ref="B2:C2"/>
    <mergeCell ref="D2:E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97E9E-3FF1-4793-B239-722EBA530CB1}">
  <dimension ref="A1:F36"/>
  <sheetViews>
    <sheetView workbookViewId="0"/>
  </sheetViews>
  <sheetFormatPr defaultRowHeight="14.5" x14ac:dyDescent="0.35"/>
  <cols>
    <col min="1" max="1" width="12.36328125" bestFit="1" customWidth="1"/>
    <col min="2" max="2" width="61.453125" customWidth="1"/>
    <col min="3" max="3" width="5.54296875" bestFit="1" customWidth="1"/>
    <col min="4" max="4" width="10.36328125" style="90" bestFit="1" customWidth="1"/>
    <col min="5" max="5" width="11.453125" bestFit="1" customWidth="1"/>
    <col min="6" max="6" width="15.453125" customWidth="1"/>
    <col min="7" max="7" width="8" customWidth="1"/>
  </cols>
  <sheetData>
    <row r="1" spans="1:6" ht="68.400000000000006" customHeight="1" thickBot="1" x14ac:dyDescent="0.4">
      <c r="A1" s="144" t="s">
        <v>83</v>
      </c>
      <c r="B1" s="296" t="s">
        <v>84</v>
      </c>
      <c r="C1" s="296"/>
      <c r="D1" s="299"/>
      <c r="E1" s="298"/>
      <c r="F1" s="299"/>
    </row>
    <row r="2" spans="1:6" ht="52.25" customHeight="1" thickBot="1" x14ac:dyDescent="0.4">
      <c r="A2" s="144" t="s">
        <v>72</v>
      </c>
      <c r="B2" s="330" t="s">
        <v>200</v>
      </c>
      <c r="C2" s="331"/>
      <c r="D2" s="332" t="s">
        <v>86</v>
      </c>
      <c r="E2" s="333"/>
      <c r="F2" s="145" t="s">
        <v>87</v>
      </c>
    </row>
    <row r="3" spans="1:6" ht="18.5" thickBot="1" x14ac:dyDescent="0.4">
      <c r="A3" s="324" t="s">
        <v>88</v>
      </c>
      <c r="B3" s="326" t="s">
        <v>89</v>
      </c>
      <c r="C3" s="327"/>
      <c r="D3" s="328" t="s">
        <v>90</v>
      </c>
      <c r="E3" s="329"/>
      <c r="F3" s="327"/>
    </row>
    <row r="4" spans="1:6" ht="15" thickBot="1" x14ac:dyDescent="0.4">
      <c r="A4" s="325"/>
      <c r="B4" s="146" t="s">
        <v>91</v>
      </c>
      <c r="C4" s="146" t="s">
        <v>92</v>
      </c>
      <c r="D4" s="147" t="s">
        <v>93</v>
      </c>
      <c r="E4" s="148" t="s">
        <v>94</v>
      </c>
      <c r="F4" s="149" t="s">
        <v>95</v>
      </c>
    </row>
    <row r="5" spans="1:6" x14ac:dyDescent="0.35">
      <c r="A5" s="16" t="s">
        <v>96</v>
      </c>
      <c r="B5" s="18" t="s">
        <v>208</v>
      </c>
      <c r="C5" s="17"/>
      <c r="D5" s="17"/>
      <c r="E5" s="17"/>
      <c r="F5" s="17"/>
    </row>
    <row r="6" spans="1:6" ht="29" x14ac:dyDescent="0.35">
      <c r="A6" s="2">
        <v>1</v>
      </c>
      <c r="B6" s="129" t="s">
        <v>97</v>
      </c>
      <c r="C6" s="87" t="s">
        <v>209</v>
      </c>
      <c r="D6" s="22">
        <f>33*10</f>
        <v>330</v>
      </c>
      <c r="E6" s="130">
        <v>1</v>
      </c>
      <c r="F6" s="130">
        <f>E6*D6</f>
        <v>330</v>
      </c>
    </row>
    <row r="7" spans="1:6" ht="43.5" x14ac:dyDescent="0.35">
      <c r="A7" s="2">
        <v>2</v>
      </c>
      <c r="B7" s="129" t="s">
        <v>99</v>
      </c>
      <c r="C7" s="87" t="s">
        <v>210</v>
      </c>
      <c r="D7" s="22">
        <f xml:space="preserve"> 19*(0.8*0.8*1.2)</f>
        <v>14.592000000000002</v>
      </c>
      <c r="E7" s="130">
        <v>10</v>
      </c>
      <c r="F7" s="130">
        <f>E7*D7</f>
        <v>145.92000000000002</v>
      </c>
    </row>
    <row r="8" spans="1:6" ht="58" x14ac:dyDescent="0.35">
      <c r="A8" s="2">
        <v>3</v>
      </c>
      <c r="B8" s="129" t="s">
        <v>101</v>
      </c>
      <c r="C8" s="87" t="s">
        <v>210</v>
      </c>
      <c r="D8" s="22">
        <f>(155.8*0.5*0.6)</f>
        <v>46.74</v>
      </c>
      <c r="E8" s="130">
        <v>10</v>
      </c>
      <c r="F8" s="130">
        <f t="shared" ref="F8:F32" si="0">E8*D8</f>
        <v>467.40000000000003</v>
      </c>
    </row>
    <row r="9" spans="1:6" ht="29" x14ac:dyDescent="0.35">
      <c r="A9" s="2">
        <v>4</v>
      </c>
      <c r="B9" s="129" t="s">
        <v>102</v>
      </c>
      <c r="C9" s="87" t="s">
        <v>211</v>
      </c>
      <c r="D9" s="22">
        <f>(155.8*0.5*0.05)+(19*0.8*0.8*0.05)</f>
        <v>4.5030000000000001</v>
      </c>
      <c r="E9" s="130">
        <v>8</v>
      </c>
      <c r="F9" s="130">
        <f t="shared" si="0"/>
        <v>36.024000000000001</v>
      </c>
    </row>
    <row r="10" spans="1:6" ht="43.5" x14ac:dyDescent="0.35">
      <c r="A10" s="2">
        <v>5</v>
      </c>
      <c r="B10" s="129" t="s">
        <v>103</v>
      </c>
      <c r="C10" s="87" t="s">
        <v>211</v>
      </c>
      <c r="D10" s="22">
        <f>(155.8*0.4*0.9)</f>
        <v>56.088000000000008</v>
      </c>
      <c r="E10" s="130">
        <v>60</v>
      </c>
      <c r="F10" s="130">
        <f t="shared" si="0"/>
        <v>3365.2800000000007</v>
      </c>
    </row>
    <row r="11" spans="1:6" ht="58" x14ac:dyDescent="0.35">
      <c r="A11" s="2">
        <v>6</v>
      </c>
      <c r="B11" s="129" t="s">
        <v>212</v>
      </c>
      <c r="C11" s="88" t="s">
        <v>211</v>
      </c>
      <c r="D11" s="23">
        <f>(155.8*0.4*0.2)</f>
        <v>12.464000000000002</v>
      </c>
      <c r="E11" s="131">
        <v>300</v>
      </c>
      <c r="F11" s="130">
        <f t="shared" si="0"/>
        <v>3739.2000000000007</v>
      </c>
    </row>
    <row r="12" spans="1:6" ht="43.5" x14ac:dyDescent="0.35">
      <c r="A12" s="2">
        <v>7</v>
      </c>
      <c r="B12" s="129" t="s">
        <v>213</v>
      </c>
      <c r="C12" s="88" t="s">
        <v>211</v>
      </c>
      <c r="D12" s="23">
        <f>(19*0.7*0.7*0.3)</f>
        <v>2.7929999999999997</v>
      </c>
      <c r="E12" s="131">
        <v>300</v>
      </c>
      <c r="F12" s="130">
        <f t="shared" si="0"/>
        <v>837.89999999999986</v>
      </c>
    </row>
    <row r="13" spans="1:6" ht="43.5" x14ac:dyDescent="0.35">
      <c r="A13" s="2">
        <v>8</v>
      </c>
      <c r="B13" s="129" t="s">
        <v>214</v>
      </c>
      <c r="C13" s="2" t="s">
        <v>211</v>
      </c>
      <c r="D13" s="24">
        <f>(19*0.2*0.2*1)</f>
        <v>0.76000000000000012</v>
      </c>
      <c r="E13" s="132">
        <v>300</v>
      </c>
      <c r="F13" s="130">
        <f t="shared" si="0"/>
        <v>228.00000000000003</v>
      </c>
    </row>
    <row r="14" spans="1:6" x14ac:dyDescent="0.35">
      <c r="A14" s="2">
        <v>9</v>
      </c>
      <c r="B14" s="129" t="s">
        <v>104</v>
      </c>
      <c r="C14" s="2" t="s">
        <v>211</v>
      </c>
      <c r="D14" s="25">
        <f>((33*10)-(155.8*0.4))*0.2</f>
        <v>53.536000000000001</v>
      </c>
      <c r="E14" s="130">
        <v>20</v>
      </c>
      <c r="F14" s="130">
        <f t="shared" si="0"/>
        <v>1070.72</v>
      </c>
    </row>
    <row r="15" spans="1:6" x14ac:dyDescent="0.35">
      <c r="A15" s="2">
        <v>10</v>
      </c>
      <c r="B15" s="129" t="s">
        <v>105</v>
      </c>
      <c r="C15" s="2" t="s">
        <v>211</v>
      </c>
      <c r="D15" s="25">
        <f>((33*10)-(155.8*0.4))*0.05</f>
        <v>13.384</v>
      </c>
      <c r="E15" s="130">
        <v>1</v>
      </c>
      <c r="F15" s="130">
        <f t="shared" si="0"/>
        <v>13.384</v>
      </c>
    </row>
    <row r="16" spans="1:6" ht="29" x14ac:dyDescent="0.35">
      <c r="A16" s="2">
        <v>11</v>
      </c>
      <c r="B16" s="129" t="s">
        <v>106</v>
      </c>
      <c r="C16" s="2" t="s">
        <v>209</v>
      </c>
      <c r="D16" s="26">
        <f>33*10</f>
        <v>330</v>
      </c>
      <c r="E16" s="131">
        <v>1</v>
      </c>
      <c r="F16" s="130">
        <f t="shared" si="0"/>
        <v>330</v>
      </c>
    </row>
    <row r="17" spans="1:6" ht="87" x14ac:dyDescent="0.35">
      <c r="A17" s="2">
        <v>12</v>
      </c>
      <c r="B17" s="129" t="s">
        <v>215</v>
      </c>
      <c r="C17" s="88" t="s">
        <v>211</v>
      </c>
      <c r="D17" s="24">
        <f>33*10*0.08</f>
        <v>26.400000000000002</v>
      </c>
      <c r="E17" s="130">
        <v>300</v>
      </c>
      <c r="F17" s="130">
        <f t="shared" si="0"/>
        <v>7920.0000000000009</v>
      </c>
    </row>
    <row r="18" spans="1:6" ht="43.5" x14ac:dyDescent="0.35">
      <c r="A18" s="2">
        <v>13</v>
      </c>
      <c r="B18" s="129" t="s">
        <v>107</v>
      </c>
      <c r="C18" s="88" t="s">
        <v>209</v>
      </c>
      <c r="D18" s="26">
        <f>102*3-((1.2*1.2*5*4)+(2.2*1.2*4))</f>
        <v>266.64</v>
      </c>
      <c r="E18" s="130">
        <v>18</v>
      </c>
      <c r="F18" s="130">
        <f t="shared" si="0"/>
        <v>4799.5199999999995</v>
      </c>
    </row>
    <row r="19" spans="1:6" ht="43.5" x14ac:dyDescent="0.35">
      <c r="A19" s="2">
        <v>14</v>
      </c>
      <c r="B19" s="129" t="s">
        <v>216</v>
      </c>
      <c r="C19" s="88" t="s">
        <v>211</v>
      </c>
      <c r="D19" s="24">
        <f>(1.75*0.2*0.15)*5*4</f>
        <v>1.05</v>
      </c>
      <c r="E19" s="132">
        <v>300</v>
      </c>
      <c r="F19" s="130">
        <f t="shared" si="0"/>
        <v>315</v>
      </c>
    </row>
    <row r="20" spans="1:6" ht="43.5" x14ac:dyDescent="0.35">
      <c r="A20" s="2">
        <v>15</v>
      </c>
      <c r="B20" s="129" t="s">
        <v>217</v>
      </c>
      <c r="C20" s="88" t="s">
        <v>211</v>
      </c>
      <c r="D20" s="24">
        <f>102*0.2*0.2</f>
        <v>4.080000000000001</v>
      </c>
      <c r="E20" s="132">
        <v>300</v>
      </c>
      <c r="F20" s="130">
        <f t="shared" si="0"/>
        <v>1224.0000000000002</v>
      </c>
    </row>
    <row r="21" spans="1:6" ht="43.5" x14ac:dyDescent="0.35">
      <c r="A21" s="2">
        <v>16</v>
      </c>
      <c r="B21" s="129" t="s">
        <v>218</v>
      </c>
      <c r="C21" s="88" t="s">
        <v>211</v>
      </c>
      <c r="D21" s="25">
        <f>118.2*0.2*0.3</f>
        <v>7.0919999999999996</v>
      </c>
      <c r="E21" s="130">
        <v>300</v>
      </c>
      <c r="F21" s="130">
        <f t="shared" si="0"/>
        <v>2127.6</v>
      </c>
    </row>
    <row r="22" spans="1:6" ht="58" x14ac:dyDescent="0.35">
      <c r="A22" s="2">
        <v>17</v>
      </c>
      <c r="B22" s="129" t="s">
        <v>219</v>
      </c>
      <c r="C22" s="88" t="s">
        <v>211</v>
      </c>
      <c r="D22" s="25">
        <f>(0.2*0.2*3.8)*19</f>
        <v>2.8880000000000003</v>
      </c>
      <c r="E22" s="130">
        <v>300</v>
      </c>
      <c r="F22" s="130">
        <f t="shared" si="0"/>
        <v>866.40000000000009</v>
      </c>
    </row>
    <row r="23" spans="1:6" ht="72.5" x14ac:dyDescent="0.35">
      <c r="A23" s="2">
        <v>18</v>
      </c>
      <c r="B23" s="129" t="s">
        <v>108</v>
      </c>
      <c r="C23" s="88" t="s">
        <v>209</v>
      </c>
      <c r="D23" s="25">
        <f>33*10*1.5</f>
        <v>495</v>
      </c>
      <c r="E23" s="130">
        <v>20</v>
      </c>
      <c r="F23" s="130">
        <f t="shared" si="0"/>
        <v>9900</v>
      </c>
    </row>
    <row r="24" spans="1:6" ht="29" x14ac:dyDescent="0.35">
      <c r="A24" s="2">
        <v>19</v>
      </c>
      <c r="B24" s="129" t="s">
        <v>109</v>
      </c>
      <c r="C24" s="88" t="s">
        <v>209</v>
      </c>
      <c r="D24" s="25">
        <f>9*32</f>
        <v>288</v>
      </c>
      <c r="E24" s="130">
        <v>8</v>
      </c>
      <c r="F24" s="130">
        <f t="shared" si="0"/>
        <v>2304</v>
      </c>
    </row>
    <row r="25" spans="1:6" ht="43.5" x14ac:dyDescent="0.35">
      <c r="A25" s="2">
        <v>20</v>
      </c>
      <c r="B25" s="129" t="s">
        <v>110</v>
      </c>
      <c r="C25" s="88" t="s">
        <v>111</v>
      </c>
      <c r="D25" s="23">
        <v>1</v>
      </c>
      <c r="E25" s="131">
        <v>500</v>
      </c>
      <c r="F25" s="130">
        <f t="shared" si="0"/>
        <v>500</v>
      </c>
    </row>
    <row r="26" spans="1:6" ht="43.5" x14ac:dyDescent="0.35">
      <c r="A26" s="2">
        <v>21</v>
      </c>
      <c r="B26" s="129" t="s">
        <v>112</v>
      </c>
      <c r="C26" s="88" t="s">
        <v>209</v>
      </c>
      <c r="D26" s="27">
        <f>D18*2</f>
        <v>533.28</v>
      </c>
      <c r="E26" s="48">
        <v>3</v>
      </c>
      <c r="F26" s="130">
        <f t="shared" si="0"/>
        <v>1599.84</v>
      </c>
    </row>
    <row r="27" spans="1:6" ht="29" x14ac:dyDescent="0.35">
      <c r="A27" s="2">
        <v>22</v>
      </c>
      <c r="B27" s="129" t="s">
        <v>113</v>
      </c>
      <c r="C27" s="88" t="s">
        <v>209</v>
      </c>
      <c r="D27" s="27">
        <f>D26/2</f>
        <v>266.64</v>
      </c>
      <c r="E27" s="48">
        <v>3</v>
      </c>
      <c r="F27" s="130">
        <f t="shared" si="0"/>
        <v>799.92</v>
      </c>
    </row>
    <row r="28" spans="1:6" ht="29" x14ac:dyDescent="0.35">
      <c r="A28" s="2">
        <v>23</v>
      </c>
      <c r="B28" s="129" t="s">
        <v>114</v>
      </c>
      <c r="C28" s="88" t="s">
        <v>209</v>
      </c>
      <c r="D28" s="25">
        <f>D27</f>
        <v>266.64</v>
      </c>
      <c r="E28" s="48">
        <v>3</v>
      </c>
      <c r="F28" s="130">
        <f t="shared" si="0"/>
        <v>799.92</v>
      </c>
    </row>
    <row r="29" spans="1:6" ht="58" x14ac:dyDescent="0.35">
      <c r="A29" s="2">
        <v>24</v>
      </c>
      <c r="B29" s="129" t="s">
        <v>115</v>
      </c>
      <c r="C29" s="88" t="s">
        <v>75</v>
      </c>
      <c r="D29" s="28">
        <v>4</v>
      </c>
      <c r="E29" s="132">
        <v>120</v>
      </c>
      <c r="F29" s="130">
        <f t="shared" si="0"/>
        <v>480</v>
      </c>
    </row>
    <row r="30" spans="1:6" ht="87" x14ac:dyDescent="0.35">
      <c r="A30" s="2">
        <v>25</v>
      </c>
      <c r="B30" s="129" t="s">
        <v>116</v>
      </c>
      <c r="C30" s="88" t="s">
        <v>75</v>
      </c>
      <c r="D30" s="28">
        <f>4*5</f>
        <v>20</v>
      </c>
      <c r="E30" s="130">
        <v>90</v>
      </c>
      <c r="F30" s="130">
        <f t="shared" si="0"/>
        <v>1800</v>
      </c>
    </row>
    <row r="31" spans="1:6" ht="87" x14ac:dyDescent="0.35">
      <c r="A31" s="2">
        <v>26</v>
      </c>
      <c r="B31" s="129" t="s">
        <v>117</v>
      </c>
      <c r="C31" s="88" t="s">
        <v>75</v>
      </c>
      <c r="D31" s="125">
        <v>2</v>
      </c>
      <c r="E31" s="133">
        <v>500</v>
      </c>
      <c r="F31" s="130">
        <f t="shared" si="0"/>
        <v>1000</v>
      </c>
    </row>
    <row r="32" spans="1:6" ht="29" x14ac:dyDescent="0.35">
      <c r="A32" s="2">
        <v>27</v>
      </c>
      <c r="B32" s="129" t="s">
        <v>118</v>
      </c>
      <c r="C32" s="88" t="s">
        <v>119</v>
      </c>
      <c r="D32" s="26">
        <v>4</v>
      </c>
      <c r="E32" s="134">
        <v>100</v>
      </c>
      <c r="F32" s="130">
        <f t="shared" si="0"/>
        <v>400</v>
      </c>
    </row>
    <row r="33" spans="1:6" ht="18.5" x14ac:dyDescent="0.45">
      <c r="A33" s="16"/>
      <c r="B33" s="52"/>
      <c r="C33" s="52"/>
      <c r="D33" s="126"/>
      <c r="E33" s="53" t="s">
        <v>220</v>
      </c>
      <c r="F33" s="54">
        <f>SUM(F6:F32)</f>
        <v>47400.027999999991</v>
      </c>
    </row>
    <row r="36" spans="1:6" x14ac:dyDescent="0.35">
      <c r="F36" s="51"/>
    </row>
  </sheetData>
  <mergeCells count="7">
    <mergeCell ref="A3:A4"/>
    <mergeCell ref="B3:C3"/>
    <mergeCell ref="D3:F3"/>
    <mergeCell ref="B1:D1"/>
    <mergeCell ref="E1:F1"/>
    <mergeCell ref="B2:C2"/>
    <mergeCell ref="D2:E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14E4F-74D1-4215-BCD7-46E4BFCDC646}">
  <dimension ref="A1:L55"/>
  <sheetViews>
    <sheetView workbookViewId="0"/>
  </sheetViews>
  <sheetFormatPr defaultColWidth="8.6328125" defaultRowHeight="14.5" x14ac:dyDescent="0.35"/>
  <cols>
    <col min="1" max="1" width="11.36328125" style="90" customWidth="1"/>
    <col min="2" max="2" width="48.36328125" style="91" bestFit="1" customWidth="1"/>
    <col min="3" max="3" width="5.54296875" style="5" bestFit="1" customWidth="1"/>
    <col min="4" max="4" width="10.08984375" style="5" customWidth="1"/>
    <col min="5" max="5" width="10.08984375" style="119" bestFit="1" customWidth="1"/>
    <col min="6" max="6" width="15.453125" style="120" bestFit="1" customWidth="1"/>
    <col min="7" max="7" width="8.54296875" hidden="1" customWidth="1"/>
    <col min="8" max="8" width="48.36328125" bestFit="1" customWidth="1"/>
    <col min="9" max="9" width="4.54296875" bestFit="1" customWidth="1"/>
    <col min="10" max="10" width="8.36328125" bestFit="1" customWidth="1"/>
    <col min="11" max="11" width="8.6328125" bestFit="1" customWidth="1"/>
    <col min="12" max="12" width="13.6328125" bestFit="1" customWidth="1"/>
  </cols>
  <sheetData>
    <row r="1" spans="1:12" ht="21.5" thickBot="1" x14ac:dyDescent="0.65">
      <c r="A1" s="83" t="s">
        <v>72</v>
      </c>
      <c r="B1" s="343" t="s">
        <v>73</v>
      </c>
      <c r="C1" s="344"/>
      <c r="D1" s="344"/>
      <c r="E1" s="344"/>
      <c r="F1" s="345"/>
      <c r="H1" s="339"/>
      <c r="I1" s="339"/>
      <c r="J1" s="339"/>
      <c r="K1" s="339"/>
      <c r="L1" s="339"/>
    </row>
    <row r="2" spans="1:12" ht="21.5" thickBot="1" x14ac:dyDescent="0.65">
      <c r="A2" s="83" t="s">
        <v>221</v>
      </c>
      <c r="B2" s="343"/>
      <c r="C2" s="344"/>
      <c r="D2" s="344"/>
      <c r="E2" s="344"/>
      <c r="F2" s="345"/>
      <c r="H2" s="56" t="s">
        <v>222</v>
      </c>
      <c r="I2" s="56"/>
      <c r="J2" s="56"/>
      <c r="K2" s="56"/>
      <c r="L2" s="56"/>
    </row>
    <row r="3" spans="1:12" ht="19" thickBot="1" x14ac:dyDescent="0.6">
      <c r="A3" s="84" t="s">
        <v>74</v>
      </c>
      <c r="B3" s="346"/>
      <c r="C3" s="347"/>
      <c r="D3" s="347"/>
      <c r="E3" s="347"/>
      <c r="F3" s="348"/>
      <c r="H3" t="s">
        <v>223</v>
      </c>
    </row>
    <row r="4" spans="1:12" ht="37.5" thickTop="1" x14ac:dyDescent="0.35">
      <c r="A4" s="85" t="s">
        <v>224</v>
      </c>
      <c r="B4" s="86" t="s">
        <v>91</v>
      </c>
      <c r="C4" s="86" t="s">
        <v>92</v>
      </c>
      <c r="D4" s="86" t="s">
        <v>201</v>
      </c>
      <c r="E4" s="127" t="s">
        <v>202</v>
      </c>
      <c r="F4" s="128" t="s">
        <v>77</v>
      </c>
      <c r="H4" s="99" t="s">
        <v>91</v>
      </c>
      <c r="I4" s="100" t="s">
        <v>92</v>
      </c>
      <c r="J4" s="100" t="s">
        <v>201</v>
      </c>
      <c r="K4" s="100" t="s">
        <v>202</v>
      </c>
      <c r="L4" s="101" t="s">
        <v>77</v>
      </c>
    </row>
    <row r="5" spans="1:12" s="55" customFormat="1" x14ac:dyDescent="0.35">
      <c r="A5" s="62" t="s">
        <v>197</v>
      </c>
      <c r="B5" s="340" t="s">
        <v>225</v>
      </c>
      <c r="C5" s="341"/>
      <c r="D5" s="342"/>
      <c r="E5" s="46"/>
      <c r="F5" s="118"/>
      <c r="H5" s="92" t="s">
        <v>139</v>
      </c>
      <c r="I5" s="10"/>
      <c r="J5" s="10"/>
      <c r="K5" s="20"/>
      <c r="L5" s="67"/>
    </row>
    <row r="6" spans="1:12" s="55" customFormat="1" x14ac:dyDescent="0.35">
      <c r="A6" s="62"/>
      <c r="B6" s="92" t="s">
        <v>139</v>
      </c>
      <c r="C6" s="63"/>
      <c r="D6" s="64"/>
      <c r="E6" s="46"/>
      <c r="F6" s="118"/>
      <c r="H6" s="92"/>
      <c r="I6" s="10"/>
      <c r="J6" s="96"/>
      <c r="K6" s="97"/>
      <c r="L6" s="98"/>
    </row>
    <row r="7" spans="1:12" s="55" customFormat="1" ht="15" thickBot="1" x14ac:dyDescent="0.4">
      <c r="A7" s="65"/>
      <c r="B7" s="66" t="s">
        <v>140</v>
      </c>
      <c r="C7" s="10"/>
      <c r="D7" s="10"/>
      <c r="E7" s="50"/>
      <c r="F7" s="50"/>
      <c r="H7" s="93" t="s">
        <v>140</v>
      </c>
      <c r="I7" s="10"/>
      <c r="J7" s="96"/>
      <c r="K7" s="97"/>
      <c r="L7" s="98"/>
    </row>
    <row r="8" spans="1:12" s="55" customFormat="1" ht="43.5" x14ac:dyDescent="0.35">
      <c r="A8" s="10">
        <v>1</v>
      </c>
      <c r="B8" s="68" t="s">
        <v>141</v>
      </c>
      <c r="C8" s="69" t="s">
        <v>226</v>
      </c>
      <c r="D8" s="10">
        <f>4.4*4</f>
        <v>17.600000000000001</v>
      </c>
      <c r="E8" s="50">
        <v>1</v>
      </c>
      <c r="F8" s="50">
        <f t="shared" ref="F8:F54" si="0">D8*E8</f>
        <v>17.600000000000001</v>
      </c>
      <c r="H8" s="68" t="s">
        <v>141</v>
      </c>
      <c r="I8" s="102" t="s">
        <v>226</v>
      </c>
      <c r="J8" s="107">
        <f>6.3*4.2</f>
        <v>26.46</v>
      </c>
      <c r="K8" s="108">
        <v>1</v>
      </c>
      <c r="L8" s="109">
        <f t="shared" ref="L8:L23" si="1">J8*K8</f>
        <v>26.46</v>
      </c>
    </row>
    <row r="9" spans="1:12" s="55" customFormat="1" ht="29" x14ac:dyDescent="0.35">
      <c r="A9" s="10">
        <v>2</v>
      </c>
      <c r="B9" s="70" t="s">
        <v>143</v>
      </c>
      <c r="C9" s="10" t="s">
        <v>210</v>
      </c>
      <c r="D9" s="20">
        <f>2*3*5</f>
        <v>30</v>
      </c>
      <c r="E9" s="50">
        <v>6</v>
      </c>
      <c r="F9" s="50">
        <f t="shared" si="0"/>
        <v>180</v>
      </c>
      <c r="H9" s="70" t="s">
        <v>143</v>
      </c>
      <c r="I9" s="103" t="s">
        <v>210</v>
      </c>
      <c r="J9" s="110">
        <f>2*3*5</f>
        <v>30</v>
      </c>
      <c r="K9" s="94">
        <v>6</v>
      </c>
      <c r="L9" s="32">
        <f t="shared" si="1"/>
        <v>180</v>
      </c>
    </row>
    <row r="10" spans="1:12" s="55" customFormat="1" ht="29" x14ac:dyDescent="0.35">
      <c r="A10" s="10">
        <v>3</v>
      </c>
      <c r="B10" s="70" t="s">
        <v>144</v>
      </c>
      <c r="C10" s="10" t="s">
        <v>210</v>
      </c>
      <c r="D10" s="12">
        <f>10*0.4</f>
        <v>4</v>
      </c>
      <c r="E10" s="50">
        <v>50</v>
      </c>
      <c r="F10" s="50">
        <f t="shared" si="0"/>
        <v>200</v>
      </c>
      <c r="H10" s="70" t="s">
        <v>227</v>
      </c>
      <c r="I10" s="103" t="s">
        <v>210</v>
      </c>
      <c r="J10" s="111">
        <f>10*0.15</f>
        <v>1.5</v>
      </c>
      <c r="K10" s="20">
        <v>50</v>
      </c>
      <c r="L10" s="32">
        <f t="shared" si="1"/>
        <v>75</v>
      </c>
    </row>
    <row r="11" spans="1:12" s="55" customFormat="1" ht="43.5" x14ac:dyDescent="0.35">
      <c r="A11" s="10">
        <v>4</v>
      </c>
      <c r="B11" s="70" t="s">
        <v>145</v>
      </c>
      <c r="C11" s="10" t="s">
        <v>210</v>
      </c>
      <c r="D11" s="12">
        <f>23.2*0.4*0.3</f>
        <v>2.7839999999999998</v>
      </c>
      <c r="E11" s="50">
        <v>5</v>
      </c>
      <c r="F11" s="50">
        <f t="shared" si="0"/>
        <v>13.919999999999998</v>
      </c>
      <c r="H11" s="70" t="s">
        <v>145</v>
      </c>
      <c r="I11" s="103" t="s">
        <v>210</v>
      </c>
      <c r="J11" s="111">
        <f>(18.9+8.4+8.8)*0.4*0.3</f>
        <v>4.331999999999999</v>
      </c>
      <c r="K11" s="20">
        <v>5</v>
      </c>
      <c r="L11" s="32">
        <f t="shared" si="1"/>
        <v>21.659999999999997</v>
      </c>
    </row>
    <row r="12" spans="1:12" s="55" customFormat="1" ht="43.5" x14ac:dyDescent="0.35">
      <c r="A12" s="10">
        <v>5</v>
      </c>
      <c r="B12" s="70" t="s">
        <v>146</v>
      </c>
      <c r="C12" s="10" t="s">
        <v>210</v>
      </c>
      <c r="D12" s="12">
        <f>23.2*0.4*0.05</f>
        <v>0.46399999999999997</v>
      </c>
      <c r="E12" s="50">
        <v>120</v>
      </c>
      <c r="F12" s="50">
        <f t="shared" si="0"/>
        <v>55.679999999999993</v>
      </c>
      <c r="H12" s="70" t="s">
        <v>146</v>
      </c>
      <c r="I12" s="103" t="s">
        <v>210</v>
      </c>
      <c r="J12" s="111">
        <f>36.1*0.4*0.05</f>
        <v>0.72200000000000009</v>
      </c>
      <c r="K12" s="20">
        <v>120</v>
      </c>
      <c r="L12" s="32">
        <f t="shared" si="1"/>
        <v>86.640000000000015</v>
      </c>
    </row>
    <row r="13" spans="1:12" s="55" customFormat="1" ht="72.5" x14ac:dyDescent="0.35">
      <c r="A13" s="10">
        <v>6</v>
      </c>
      <c r="B13" s="70" t="s">
        <v>147</v>
      </c>
      <c r="C13" s="10" t="s">
        <v>210</v>
      </c>
      <c r="D13" s="11">
        <f>23.2*0.4*0.6</f>
        <v>5.5679999999999996</v>
      </c>
      <c r="E13" s="50">
        <v>50</v>
      </c>
      <c r="F13" s="50">
        <f t="shared" si="0"/>
        <v>278.39999999999998</v>
      </c>
      <c r="H13" s="70" t="s">
        <v>228</v>
      </c>
      <c r="I13" s="103" t="s">
        <v>210</v>
      </c>
      <c r="J13" s="112">
        <f>36.1*0.6*0.4</f>
        <v>8.6639999999999997</v>
      </c>
      <c r="K13" s="20">
        <v>50</v>
      </c>
      <c r="L13" s="32">
        <f t="shared" si="1"/>
        <v>433.2</v>
      </c>
    </row>
    <row r="14" spans="1:12" s="55" customFormat="1" x14ac:dyDescent="0.35">
      <c r="A14" s="65"/>
      <c r="B14" s="66" t="s">
        <v>148</v>
      </c>
      <c r="C14" s="71"/>
      <c r="D14" s="2"/>
      <c r="E14" s="46"/>
      <c r="F14" s="50">
        <f t="shared" si="0"/>
        <v>0</v>
      </c>
      <c r="H14" s="93" t="s">
        <v>148</v>
      </c>
      <c r="I14" s="104"/>
      <c r="J14" s="21"/>
      <c r="K14" s="12"/>
      <c r="L14" s="32"/>
    </row>
    <row r="15" spans="1:12" s="55" customFormat="1" ht="72.5" x14ac:dyDescent="0.35">
      <c r="A15" s="10">
        <v>7</v>
      </c>
      <c r="B15" s="70" t="s">
        <v>149</v>
      </c>
      <c r="C15" s="10" t="s">
        <v>210</v>
      </c>
      <c r="D15" s="11">
        <f>23.2*0.4*0.15</f>
        <v>1.3919999999999999</v>
      </c>
      <c r="E15" s="45">
        <v>280</v>
      </c>
      <c r="F15" s="50">
        <f t="shared" si="0"/>
        <v>389.76</v>
      </c>
      <c r="H15" s="70" t="s">
        <v>149</v>
      </c>
      <c r="I15" s="103" t="s">
        <v>210</v>
      </c>
      <c r="J15" s="112">
        <f>0.4*36.1*0.15</f>
        <v>2.1659999999999999</v>
      </c>
      <c r="K15" s="11">
        <v>280</v>
      </c>
      <c r="L15" s="32">
        <f t="shared" si="1"/>
        <v>606.48</v>
      </c>
    </row>
    <row r="16" spans="1:12" s="55" customFormat="1" ht="87" x14ac:dyDescent="0.35">
      <c r="A16" s="10">
        <v>8</v>
      </c>
      <c r="B16" s="70" t="s">
        <v>150</v>
      </c>
      <c r="C16" s="10" t="s">
        <v>210</v>
      </c>
      <c r="D16" s="11">
        <f>3.8*2.8*0.15</f>
        <v>1.5959999999999999</v>
      </c>
      <c r="E16" s="45">
        <v>280</v>
      </c>
      <c r="F16" s="50">
        <f t="shared" si="0"/>
        <v>446.87999999999994</v>
      </c>
      <c r="H16" s="70" t="s">
        <v>150</v>
      </c>
      <c r="I16" s="103" t="s">
        <v>210</v>
      </c>
      <c r="J16" s="112">
        <f>3.8*2.8*0.15</f>
        <v>1.5959999999999999</v>
      </c>
      <c r="K16" s="11">
        <v>280</v>
      </c>
      <c r="L16" s="32">
        <f t="shared" si="1"/>
        <v>446.87999999999994</v>
      </c>
    </row>
    <row r="17" spans="1:12" s="55" customFormat="1" x14ac:dyDescent="0.35">
      <c r="A17" s="65"/>
      <c r="B17" s="66" t="s">
        <v>151</v>
      </c>
      <c r="C17" s="10"/>
      <c r="D17" s="71"/>
      <c r="E17" s="45"/>
      <c r="F17" s="50">
        <f t="shared" si="0"/>
        <v>0</v>
      </c>
      <c r="H17" s="93" t="s">
        <v>151</v>
      </c>
      <c r="I17" s="103"/>
      <c r="J17" s="113"/>
      <c r="K17" s="11"/>
      <c r="L17" s="32"/>
    </row>
    <row r="18" spans="1:12" s="55" customFormat="1" ht="43.5" x14ac:dyDescent="0.35">
      <c r="A18" s="10">
        <v>9</v>
      </c>
      <c r="B18" s="70" t="s">
        <v>152</v>
      </c>
      <c r="C18" s="10" t="s">
        <v>210</v>
      </c>
      <c r="D18" s="20">
        <f>((4.4*4)-(23.2*0.4))*0.2</f>
        <v>1.6640000000000006</v>
      </c>
      <c r="E18" s="45">
        <v>5</v>
      </c>
      <c r="F18" s="50">
        <f t="shared" si="0"/>
        <v>8.3200000000000038</v>
      </c>
      <c r="H18" s="70" t="s">
        <v>229</v>
      </c>
      <c r="I18" s="103" t="s">
        <v>210</v>
      </c>
      <c r="J18" s="110">
        <f>6.3*4.2*0.2</f>
        <v>5.2920000000000007</v>
      </c>
      <c r="K18" s="11">
        <v>5</v>
      </c>
      <c r="L18" s="32">
        <f t="shared" si="1"/>
        <v>26.460000000000004</v>
      </c>
    </row>
    <row r="19" spans="1:12" s="55" customFormat="1" ht="29" x14ac:dyDescent="0.35">
      <c r="A19" s="10">
        <v>10</v>
      </c>
      <c r="B19" s="70" t="s">
        <v>153</v>
      </c>
      <c r="C19" s="10" t="s">
        <v>210</v>
      </c>
      <c r="D19" s="72">
        <f>((4.4*4)-(23.2*0.4))*0.2</f>
        <v>1.6640000000000006</v>
      </c>
      <c r="E19" s="45">
        <v>20</v>
      </c>
      <c r="F19" s="50">
        <f t="shared" si="0"/>
        <v>33.280000000000015</v>
      </c>
      <c r="H19" s="70" t="s">
        <v>153</v>
      </c>
      <c r="I19" s="103" t="s">
        <v>210</v>
      </c>
      <c r="J19" s="114">
        <f>J18</f>
        <v>5.2920000000000007</v>
      </c>
      <c r="K19" s="11">
        <v>20</v>
      </c>
      <c r="L19" s="32">
        <f t="shared" si="1"/>
        <v>105.84000000000002</v>
      </c>
    </row>
    <row r="20" spans="1:12" s="55" customFormat="1" x14ac:dyDescent="0.35">
      <c r="A20" s="10"/>
      <c r="B20" s="66" t="s">
        <v>154</v>
      </c>
      <c r="C20" s="10"/>
      <c r="D20" s="73"/>
      <c r="E20" s="45"/>
      <c r="F20" s="50">
        <f t="shared" si="0"/>
        <v>0</v>
      </c>
      <c r="H20" s="66" t="s">
        <v>154</v>
      </c>
      <c r="I20" s="103"/>
      <c r="J20" s="34"/>
      <c r="K20" s="11"/>
      <c r="L20" s="32"/>
    </row>
    <row r="21" spans="1:12" s="55" customFormat="1" ht="43.5" x14ac:dyDescent="0.35">
      <c r="A21" s="10">
        <v>11</v>
      </c>
      <c r="B21" s="70" t="s">
        <v>155</v>
      </c>
      <c r="C21" s="10" t="s">
        <v>210</v>
      </c>
      <c r="D21" s="73">
        <f>4.4*4*0.05</f>
        <v>0.88000000000000012</v>
      </c>
      <c r="E21" s="45">
        <v>100</v>
      </c>
      <c r="F21" s="50">
        <f t="shared" si="0"/>
        <v>88.000000000000014</v>
      </c>
      <c r="H21" s="70" t="s">
        <v>155</v>
      </c>
      <c r="I21" s="103" t="s">
        <v>210</v>
      </c>
      <c r="J21" s="34">
        <f>6.3*4.2*0.05</f>
        <v>1.3230000000000002</v>
      </c>
      <c r="K21" s="11">
        <v>100</v>
      </c>
      <c r="L21" s="32">
        <f t="shared" si="1"/>
        <v>132.30000000000001</v>
      </c>
    </row>
    <row r="22" spans="1:12" s="55" customFormat="1" ht="29" x14ac:dyDescent="0.35">
      <c r="A22" s="10">
        <v>12</v>
      </c>
      <c r="B22" s="74" t="s">
        <v>156</v>
      </c>
      <c r="C22" s="69" t="s">
        <v>226</v>
      </c>
      <c r="D22" s="2">
        <f>4*4</f>
        <v>16</v>
      </c>
      <c r="E22" s="45">
        <v>15</v>
      </c>
      <c r="F22" s="50">
        <f t="shared" si="0"/>
        <v>240</v>
      </c>
      <c r="H22" s="74" t="s">
        <v>230</v>
      </c>
      <c r="I22" s="102" t="s">
        <v>226</v>
      </c>
      <c r="J22" s="21">
        <f>3*2*3</f>
        <v>18</v>
      </c>
      <c r="K22" s="11">
        <v>15</v>
      </c>
      <c r="L22" s="32">
        <f t="shared" si="1"/>
        <v>270</v>
      </c>
    </row>
    <row r="23" spans="1:12" s="55" customFormat="1" ht="58" x14ac:dyDescent="0.35">
      <c r="A23" s="10">
        <v>13</v>
      </c>
      <c r="B23" s="74" t="s">
        <v>157</v>
      </c>
      <c r="C23" s="69" t="s">
        <v>226</v>
      </c>
      <c r="D23" s="2">
        <f>2*((2*4*2)+4+1.7+4)</f>
        <v>51.4</v>
      </c>
      <c r="E23" s="45">
        <v>15</v>
      </c>
      <c r="F23" s="50">
        <f t="shared" si="0"/>
        <v>771</v>
      </c>
      <c r="H23" s="74" t="s">
        <v>231</v>
      </c>
      <c r="I23" s="102" t="s">
        <v>226</v>
      </c>
      <c r="J23" s="21">
        <v>34.200000000000003</v>
      </c>
      <c r="K23" s="11">
        <v>15</v>
      </c>
      <c r="L23" s="32">
        <f t="shared" si="1"/>
        <v>513</v>
      </c>
    </row>
    <row r="24" spans="1:12" s="55" customFormat="1" x14ac:dyDescent="0.35">
      <c r="A24" s="65"/>
      <c r="B24" s="95" t="s">
        <v>139</v>
      </c>
      <c r="C24" s="2"/>
      <c r="D24" s="75"/>
      <c r="E24" s="45"/>
      <c r="F24" s="50"/>
      <c r="H24" s="95" t="s">
        <v>139</v>
      </c>
      <c r="I24" s="105"/>
      <c r="J24" s="21"/>
      <c r="K24" s="11"/>
      <c r="L24" s="32"/>
    </row>
    <row r="25" spans="1:12" s="55" customFormat="1" x14ac:dyDescent="0.35">
      <c r="A25" s="10"/>
      <c r="B25" s="76" t="s">
        <v>158</v>
      </c>
      <c r="C25" s="1"/>
      <c r="D25" s="1"/>
      <c r="E25" s="50"/>
      <c r="F25" s="50"/>
      <c r="H25" s="76" t="s">
        <v>158</v>
      </c>
      <c r="I25" s="106"/>
      <c r="J25" s="115"/>
      <c r="K25" s="94"/>
      <c r="L25" s="32"/>
    </row>
    <row r="26" spans="1:12" s="55" customFormat="1" ht="58" x14ac:dyDescent="0.35">
      <c r="A26" s="10">
        <v>14</v>
      </c>
      <c r="B26" s="74" t="s">
        <v>159</v>
      </c>
      <c r="C26" s="69" t="s">
        <v>226</v>
      </c>
      <c r="D26" s="2">
        <f>21.5*3</f>
        <v>64.5</v>
      </c>
      <c r="E26" s="45">
        <v>14</v>
      </c>
      <c r="F26" s="50">
        <f t="shared" si="0"/>
        <v>903</v>
      </c>
      <c r="H26" s="74" t="s">
        <v>159</v>
      </c>
      <c r="I26" s="102" t="s">
        <v>226</v>
      </c>
      <c r="J26" s="21">
        <f>(18.9+12.8)*2.9</f>
        <v>91.929999999999993</v>
      </c>
      <c r="K26" s="11">
        <v>14</v>
      </c>
      <c r="L26" s="32">
        <f>J26*K26</f>
        <v>1287.02</v>
      </c>
    </row>
    <row r="27" spans="1:12" s="55" customFormat="1" x14ac:dyDescent="0.35">
      <c r="A27" s="10"/>
      <c r="B27" s="76" t="s">
        <v>160</v>
      </c>
      <c r="C27" s="1"/>
      <c r="D27" s="1"/>
      <c r="E27" s="46"/>
      <c r="F27" s="50">
        <f t="shared" si="0"/>
        <v>0</v>
      </c>
      <c r="H27" s="76" t="s">
        <v>160</v>
      </c>
      <c r="I27" s="106"/>
      <c r="J27" s="115"/>
      <c r="K27" s="12"/>
      <c r="L27" s="32"/>
    </row>
    <row r="28" spans="1:12" s="55" customFormat="1" ht="87" x14ac:dyDescent="0.35">
      <c r="A28" s="10">
        <v>15</v>
      </c>
      <c r="B28" s="74" t="s">
        <v>161</v>
      </c>
      <c r="C28" s="10" t="s">
        <v>210</v>
      </c>
      <c r="D28" s="11">
        <f>21.5*0.15*0.15</f>
        <v>0.48375000000000001</v>
      </c>
      <c r="E28" s="45">
        <v>300</v>
      </c>
      <c r="F28" s="50">
        <f t="shared" si="0"/>
        <v>145.125</v>
      </c>
      <c r="H28" s="74" t="s">
        <v>161</v>
      </c>
      <c r="I28" s="103" t="s">
        <v>210</v>
      </c>
      <c r="J28" s="112">
        <f>36.1*0.15*0.15</f>
        <v>0.81225000000000003</v>
      </c>
      <c r="K28" s="11">
        <v>300</v>
      </c>
      <c r="L28" s="32">
        <f>J28*K28</f>
        <v>243.67500000000001</v>
      </c>
    </row>
    <row r="29" spans="1:12" s="55" customFormat="1" x14ac:dyDescent="0.35">
      <c r="A29" s="2"/>
      <c r="B29" s="66" t="s">
        <v>162</v>
      </c>
      <c r="C29" s="1"/>
      <c r="D29" s="1"/>
      <c r="E29" s="45"/>
      <c r="F29" s="50"/>
      <c r="H29" s="66" t="s">
        <v>162</v>
      </c>
      <c r="I29" s="106"/>
      <c r="J29" s="115"/>
      <c r="K29" s="11"/>
      <c r="L29" s="32"/>
    </row>
    <row r="30" spans="1:12" s="55" customFormat="1" ht="43.5" x14ac:dyDescent="0.35">
      <c r="A30" s="2">
        <v>16</v>
      </c>
      <c r="B30" s="74" t="s">
        <v>163</v>
      </c>
      <c r="C30" s="10" t="s">
        <v>131</v>
      </c>
      <c r="D30" s="11">
        <v>1</v>
      </c>
      <c r="E30" s="45">
        <v>300</v>
      </c>
      <c r="F30" s="50">
        <f t="shared" si="0"/>
        <v>300</v>
      </c>
      <c r="H30" s="74" t="s">
        <v>163</v>
      </c>
      <c r="I30" s="103" t="s">
        <v>131</v>
      </c>
      <c r="J30" s="112">
        <v>1</v>
      </c>
      <c r="K30" s="11">
        <v>300</v>
      </c>
      <c r="L30" s="32">
        <f>J30*K30</f>
        <v>300</v>
      </c>
    </row>
    <row r="31" spans="1:12" s="55" customFormat="1" ht="58" x14ac:dyDescent="0.35">
      <c r="A31" s="2">
        <v>17</v>
      </c>
      <c r="B31" s="74" t="s">
        <v>164</v>
      </c>
      <c r="C31" s="10" t="s">
        <v>131</v>
      </c>
      <c r="D31" s="11">
        <v>1</v>
      </c>
      <c r="E31" s="45">
        <v>150</v>
      </c>
      <c r="F31" s="50">
        <f t="shared" si="0"/>
        <v>150</v>
      </c>
      <c r="H31" s="74" t="s">
        <v>164</v>
      </c>
      <c r="I31" s="103" t="s">
        <v>131</v>
      </c>
      <c r="J31" s="112">
        <v>1</v>
      </c>
      <c r="K31" s="11">
        <v>150</v>
      </c>
      <c r="L31" s="32">
        <f>J31*K31</f>
        <v>150</v>
      </c>
    </row>
    <row r="32" spans="1:12" s="55" customFormat="1" ht="43.5" x14ac:dyDescent="0.35">
      <c r="A32" s="2">
        <v>18</v>
      </c>
      <c r="B32" s="77" t="s">
        <v>165</v>
      </c>
      <c r="C32" s="2" t="s">
        <v>131</v>
      </c>
      <c r="D32" s="11">
        <v>1</v>
      </c>
      <c r="E32" s="45">
        <v>120</v>
      </c>
      <c r="F32" s="50">
        <f t="shared" si="0"/>
        <v>120</v>
      </c>
      <c r="H32" s="77" t="s">
        <v>165</v>
      </c>
      <c r="I32" s="105" t="s">
        <v>131</v>
      </c>
      <c r="J32" s="112">
        <v>1</v>
      </c>
      <c r="K32" s="11">
        <v>120</v>
      </c>
      <c r="L32" s="32">
        <f>J32*K32</f>
        <v>120</v>
      </c>
    </row>
    <row r="33" spans="1:12" s="55" customFormat="1" x14ac:dyDescent="0.35">
      <c r="A33" s="1"/>
      <c r="B33" s="95" t="s">
        <v>166</v>
      </c>
      <c r="C33" s="1"/>
      <c r="D33" s="1"/>
      <c r="E33" s="45"/>
      <c r="F33" s="50">
        <f t="shared" si="0"/>
        <v>0</v>
      </c>
      <c r="H33" s="95" t="s">
        <v>166</v>
      </c>
      <c r="I33" s="106"/>
      <c r="J33" s="115"/>
      <c r="K33" s="11"/>
      <c r="L33" s="32"/>
    </row>
    <row r="34" spans="1:12" s="55" customFormat="1" ht="116" x14ac:dyDescent="0.35">
      <c r="A34" s="2">
        <v>19</v>
      </c>
      <c r="B34" s="74" t="s">
        <v>167</v>
      </c>
      <c r="C34" s="69" t="s">
        <v>226</v>
      </c>
      <c r="D34" s="11">
        <f>4.6*4*1.15</f>
        <v>21.159999999999997</v>
      </c>
      <c r="E34" s="45">
        <v>20</v>
      </c>
      <c r="F34" s="50">
        <f t="shared" si="0"/>
        <v>423.19999999999993</v>
      </c>
      <c r="H34" s="74" t="s">
        <v>167</v>
      </c>
      <c r="I34" s="102" t="s">
        <v>226</v>
      </c>
      <c r="J34" s="112">
        <f>(6.3*4.8)</f>
        <v>30.24</v>
      </c>
      <c r="K34" s="11">
        <v>20</v>
      </c>
      <c r="L34" s="32">
        <f>J34*K34</f>
        <v>604.79999999999995</v>
      </c>
    </row>
    <row r="35" spans="1:12" s="55" customFormat="1" x14ac:dyDescent="0.35">
      <c r="A35" s="2">
        <v>20</v>
      </c>
      <c r="B35" s="1" t="s">
        <v>168</v>
      </c>
      <c r="C35" s="2" t="s">
        <v>169</v>
      </c>
      <c r="D35" s="11">
        <v>20</v>
      </c>
      <c r="E35" s="45">
        <v>4</v>
      </c>
      <c r="F35" s="50">
        <f t="shared" si="0"/>
        <v>80</v>
      </c>
      <c r="H35" s="1" t="s">
        <v>168</v>
      </c>
      <c r="I35" s="105" t="s">
        <v>226</v>
      </c>
      <c r="J35" s="112">
        <v>17</v>
      </c>
      <c r="K35" s="11">
        <v>4</v>
      </c>
      <c r="L35" s="32">
        <f>J35*K35</f>
        <v>68</v>
      </c>
    </row>
    <row r="36" spans="1:12" s="55" customFormat="1" x14ac:dyDescent="0.35">
      <c r="A36" s="1"/>
      <c r="B36" s="95" t="s">
        <v>170</v>
      </c>
      <c r="C36" s="1"/>
      <c r="D36" s="1"/>
      <c r="E36" s="45"/>
      <c r="F36" s="50">
        <f t="shared" si="0"/>
        <v>0</v>
      </c>
      <c r="H36" s="95" t="s">
        <v>170</v>
      </c>
      <c r="I36" s="106"/>
      <c r="J36" s="115"/>
      <c r="K36" s="11"/>
      <c r="L36" s="32"/>
    </row>
    <row r="37" spans="1:12" s="55" customFormat="1" ht="29" x14ac:dyDescent="0.35">
      <c r="A37" s="2">
        <v>21</v>
      </c>
      <c r="B37" s="77" t="s">
        <v>171</v>
      </c>
      <c r="C37" s="69" t="s">
        <v>226</v>
      </c>
      <c r="D37" s="2">
        <f>(21.5*3)*2</f>
        <v>129</v>
      </c>
      <c r="E37" s="45">
        <v>3</v>
      </c>
      <c r="F37" s="50">
        <f t="shared" si="0"/>
        <v>387</v>
      </c>
      <c r="H37" s="77" t="s">
        <v>171</v>
      </c>
      <c r="I37" s="102" t="s">
        <v>226</v>
      </c>
      <c r="J37" s="21">
        <f>(24+16.8+8)*2.9</f>
        <v>141.51999999999998</v>
      </c>
      <c r="K37" s="11">
        <v>3</v>
      </c>
      <c r="L37" s="32">
        <f>J37*K37</f>
        <v>424.55999999999995</v>
      </c>
    </row>
    <row r="38" spans="1:12" s="55" customFormat="1" ht="29" x14ac:dyDescent="0.35">
      <c r="A38" s="2">
        <v>22</v>
      </c>
      <c r="B38" s="77" t="s">
        <v>172</v>
      </c>
      <c r="C38" s="69" t="s">
        <v>226</v>
      </c>
      <c r="D38" s="2">
        <f>(21.5*1)*2</f>
        <v>43</v>
      </c>
      <c r="E38" s="45">
        <v>1</v>
      </c>
      <c r="F38" s="50">
        <f t="shared" si="0"/>
        <v>43</v>
      </c>
      <c r="H38" s="77" t="s">
        <v>172</v>
      </c>
      <c r="I38" s="102" t="s">
        <v>226</v>
      </c>
      <c r="J38" s="21">
        <f>(24+16.8+8)*1</f>
        <v>48.8</v>
      </c>
      <c r="K38" s="11">
        <v>1</v>
      </c>
      <c r="L38" s="32">
        <f>J38*K38</f>
        <v>48.8</v>
      </c>
    </row>
    <row r="39" spans="1:12" s="55" customFormat="1" ht="43.5" x14ac:dyDescent="0.35">
      <c r="A39" s="2">
        <v>23</v>
      </c>
      <c r="B39" s="77" t="s">
        <v>173</v>
      </c>
      <c r="C39" s="69" t="s">
        <v>226</v>
      </c>
      <c r="D39" s="2">
        <f>D38</f>
        <v>43</v>
      </c>
      <c r="E39" s="45">
        <v>3</v>
      </c>
      <c r="F39" s="50">
        <f t="shared" si="0"/>
        <v>129</v>
      </c>
      <c r="H39" s="77" t="s">
        <v>173</v>
      </c>
      <c r="I39" s="102" t="s">
        <v>226</v>
      </c>
      <c r="J39" s="21">
        <f>J38</f>
        <v>48.8</v>
      </c>
      <c r="K39" s="11">
        <v>3</v>
      </c>
      <c r="L39" s="32">
        <f>J39*K39</f>
        <v>146.39999999999998</v>
      </c>
    </row>
    <row r="40" spans="1:12" s="55" customFormat="1" x14ac:dyDescent="0.35">
      <c r="A40" s="1"/>
      <c r="B40" s="95" t="s">
        <v>174</v>
      </c>
      <c r="C40" s="1"/>
      <c r="D40" s="1"/>
      <c r="E40" s="45"/>
      <c r="F40" s="50"/>
      <c r="H40" s="95" t="s">
        <v>174</v>
      </c>
      <c r="I40" s="106"/>
      <c r="J40" s="115"/>
      <c r="K40" s="11"/>
      <c r="L40" s="32"/>
    </row>
    <row r="41" spans="1:12" s="55" customFormat="1" x14ac:dyDescent="0.35">
      <c r="A41" s="2"/>
      <c r="B41" s="76" t="s">
        <v>175</v>
      </c>
      <c r="C41" s="1"/>
      <c r="D41" s="1"/>
      <c r="E41" s="45"/>
      <c r="F41" s="50"/>
      <c r="H41" s="76" t="s">
        <v>175</v>
      </c>
      <c r="I41" s="106"/>
      <c r="J41" s="115"/>
      <c r="K41" s="11"/>
      <c r="L41" s="32"/>
    </row>
    <row r="42" spans="1:12" s="55" customFormat="1" ht="43.5" x14ac:dyDescent="0.35">
      <c r="A42" s="2">
        <v>24</v>
      </c>
      <c r="B42" s="77" t="s">
        <v>176</v>
      </c>
      <c r="C42" s="2" t="s">
        <v>177</v>
      </c>
      <c r="D42" s="11">
        <v>2</v>
      </c>
      <c r="E42" s="45">
        <v>125</v>
      </c>
      <c r="F42" s="50">
        <f t="shared" si="0"/>
        <v>250</v>
      </c>
      <c r="H42" s="77" t="s">
        <v>176</v>
      </c>
      <c r="I42" s="105" t="s">
        <v>177</v>
      </c>
      <c r="J42" s="112">
        <v>3</v>
      </c>
      <c r="K42" s="11">
        <v>125</v>
      </c>
      <c r="L42" s="32">
        <f>J42*K42</f>
        <v>375</v>
      </c>
    </row>
    <row r="43" spans="1:12" s="55" customFormat="1" x14ac:dyDescent="0.35">
      <c r="A43" s="1"/>
      <c r="B43" s="76" t="s">
        <v>178</v>
      </c>
      <c r="C43" s="1"/>
      <c r="D43" s="1"/>
      <c r="E43" s="45"/>
      <c r="F43" s="50">
        <f t="shared" si="0"/>
        <v>0</v>
      </c>
      <c r="H43" s="76" t="s">
        <v>178</v>
      </c>
      <c r="I43" s="106"/>
      <c r="J43" s="115"/>
      <c r="K43" s="11"/>
      <c r="L43" s="32"/>
    </row>
    <row r="44" spans="1:12" s="55" customFormat="1" ht="43.5" x14ac:dyDescent="0.35">
      <c r="A44" s="2">
        <v>25</v>
      </c>
      <c r="B44" s="74" t="s">
        <v>179</v>
      </c>
      <c r="C44" s="2" t="s">
        <v>177</v>
      </c>
      <c r="D44" s="11">
        <v>2</v>
      </c>
      <c r="E44" s="45">
        <v>15</v>
      </c>
      <c r="F44" s="50">
        <f t="shared" si="0"/>
        <v>30</v>
      </c>
      <c r="H44" s="74" t="s">
        <v>179</v>
      </c>
      <c r="I44" s="105" t="s">
        <v>177</v>
      </c>
      <c r="J44" s="112">
        <v>3</v>
      </c>
      <c r="K44" s="11">
        <v>15</v>
      </c>
      <c r="L44" s="32">
        <f>J44*K44</f>
        <v>45</v>
      </c>
    </row>
    <row r="45" spans="1:12" s="55" customFormat="1" x14ac:dyDescent="0.35">
      <c r="A45" s="2"/>
      <c r="B45" s="95" t="s">
        <v>180</v>
      </c>
      <c r="C45" s="2"/>
      <c r="D45" s="11"/>
      <c r="E45" s="45"/>
      <c r="F45" s="50"/>
      <c r="H45" s="95" t="s">
        <v>180</v>
      </c>
      <c r="I45" s="106"/>
      <c r="J45" s="115"/>
      <c r="K45" s="11"/>
      <c r="L45" s="32"/>
    </row>
    <row r="46" spans="1:12" s="55" customFormat="1" x14ac:dyDescent="0.35">
      <c r="A46" s="2"/>
      <c r="B46" s="76" t="s">
        <v>181</v>
      </c>
      <c r="C46" s="1"/>
      <c r="D46" s="1"/>
      <c r="E46" s="45"/>
      <c r="F46" s="50"/>
      <c r="H46" s="76" t="s">
        <v>181</v>
      </c>
      <c r="I46" s="106"/>
      <c r="J46" s="115"/>
      <c r="K46" s="11"/>
      <c r="L46" s="32"/>
    </row>
    <row r="47" spans="1:12" s="55" customFormat="1" x14ac:dyDescent="0.35">
      <c r="A47" s="2">
        <v>26</v>
      </c>
      <c r="B47" s="78" t="s">
        <v>182</v>
      </c>
      <c r="C47" s="2" t="s">
        <v>177</v>
      </c>
      <c r="D47" s="11">
        <v>1</v>
      </c>
      <c r="E47" s="45">
        <v>50</v>
      </c>
      <c r="F47" s="50">
        <f t="shared" si="0"/>
        <v>50</v>
      </c>
      <c r="H47" s="78" t="s">
        <v>182</v>
      </c>
      <c r="I47" s="105" t="s">
        <v>177</v>
      </c>
      <c r="J47" s="112">
        <v>1</v>
      </c>
      <c r="K47" s="11">
        <v>50</v>
      </c>
      <c r="L47" s="32">
        <f t="shared" ref="L47:L52" si="2">J47*K47</f>
        <v>50</v>
      </c>
    </row>
    <row r="48" spans="1:12" s="55" customFormat="1" ht="43.5" x14ac:dyDescent="0.35">
      <c r="A48" s="2">
        <v>27</v>
      </c>
      <c r="B48" s="78" t="s">
        <v>183</v>
      </c>
      <c r="C48" s="2" t="s">
        <v>177</v>
      </c>
      <c r="D48" s="11">
        <v>1</v>
      </c>
      <c r="E48" s="45">
        <v>150</v>
      </c>
      <c r="F48" s="50">
        <f t="shared" si="0"/>
        <v>150</v>
      </c>
      <c r="H48" s="78" t="s">
        <v>183</v>
      </c>
      <c r="I48" s="105" t="s">
        <v>177</v>
      </c>
      <c r="J48" s="112">
        <v>2</v>
      </c>
      <c r="K48" s="11">
        <v>150</v>
      </c>
      <c r="L48" s="32">
        <f t="shared" si="2"/>
        <v>300</v>
      </c>
    </row>
    <row r="49" spans="1:12" s="55" customFormat="1" ht="43.5" x14ac:dyDescent="0.35">
      <c r="A49" s="2">
        <v>28</v>
      </c>
      <c r="B49" s="78" t="s">
        <v>184</v>
      </c>
      <c r="C49" s="2" t="s">
        <v>177</v>
      </c>
      <c r="D49" s="11">
        <v>1</v>
      </c>
      <c r="E49" s="45">
        <v>120</v>
      </c>
      <c r="F49" s="50">
        <f t="shared" si="0"/>
        <v>120</v>
      </c>
      <c r="H49" s="78" t="s">
        <v>184</v>
      </c>
      <c r="I49" s="105" t="s">
        <v>177</v>
      </c>
      <c r="J49" s="112">
        <v>1</v>
      </c>
      <c r="K49" s="11">
        <v>120</v>
      </c>
      <c r="L49" s="32">
        <f t="shared" si="2"/>
        <v>120</v>
      </c>
    </row>
    <row r="50" spans="1:12" s="55" customFormat="1" ht="29" x14ac:dyDescent="0.35">
      <c r="A50" s="2">
        <v>29</v>
      </c>
      <c r="B50" s="78" t="s">
        <v>185</v>
      </c>
      <c r="C50" s="2" t="s">
        <v>177</v>
      </c>
      <c r="D50" s="11">
        <v>2</v>
      </c>
      <c r="E50" s="45">
        <v>100</v>
      </c>
      <c r="F50" s="50">
        <f t="shared" si="0"/>
        <v>200</v>
      </c>
      <c r="H50" s="78" t="s">
        <v>185</v>
      </c>
      <c r="I50" s="105" t="s">
        <v>177</v>
      </c>
      <c r="J50" s="112">
        <v>3</v>
      </c>
      <c r="K50" s="11">
        <v>100</v>
      </c>
      <c r="L50" s="32">
        <f t="shared" si="2"/>
        <v>300</v>
      </c>
    </row>
    <row r="51" spans="1:12" s="55" customFormat="1" ht="43.5" x14ac:dyDescent="0.35">
      <c r="A51" s="2">
        <v>30</v>
      </c>
      <c r="B51" s="70" t="s">
        <v>186</v>
      </c>
      <c r="C51" s="2" t="s">
        <v>177</v>
      </c>
      <c r="D51" s="11">
        <v>2</v>
      </c>
      <c r="E51" s="45">
        <v>50</v>
      </c>
      <c r="F51" s="50">
        <f t="shared" si="0"/>
        <v>100</v>
      </c>
      <c r="H51" s="70" t="s">
        <v>232</v>
      </c>
      <c r="I51" s="105" t="s">
        <v>177</v>
      </c>
      <c r="J51" s="112">
        <v>3</v>
      </c>
      <c r="K51" s="11">
        <v>50</v>
      </c>
      <c r="L51" s="32">
        <f t="shared" si="2"/>
        <v>150</v>
      </c>
    </row>
    <row r="52" spans="1:12" s="55" customFormat="1" ht="29" x14ac:dyDescent="0.35">
      <c r="A52" s="2">
        <v>31</v>
      </c>
      <c r="B52" s="70" t="s">
        <v>187</v>
      </c>
      <c r="C52" s="2" t="s">
        <v>188</v>
      </c>
      <c r="D52" s="11">
        <v>1</v>
      </c>
      <c r="E52" s="45">
        <v>200</v>
      </c>
      <c r="F52" s="50">
        <f t="shared" si="0"/>
        <v>200</v>
      </c>
      <c r="H52" s="70" t="s">
        <v>187</v>
      </c>
      <c r="I52" s="105" t="s">
        <v>188</v>
      </c>
      <c r="J52" s="112">
        <v>1</v>
      </c>
      <c r="K52" s="11">
        <v>200</v>
      </c>
      <c r="L52" s="32">
        <f t="shared" si="2"/>
        <v>200</v>
      </c>
    </row>
    <row r="53" spans="1:12" s="55" customFormat="1" x14ac:dyDescent="0.35">
      <c r="A53" s="1"/>
      <c r="B53" s="95" t="s">
        <v>189</v>
      </c>
      <c r="C53" s="1"/>
      <c r="D53" s="1"/>
      <c r="E53" s="45"/>
      <c r="F53" s="50"/>
      <c r="H53" s="95" t="s">
        <v>189</v>
      </c>
      <c r="I53" s="106"/>
      <c r="J53" s="115"/>
      <c r="K53" s="11"/>
      <c r="L53" s="32"/>
    </row>
    <row r="54" spans="1:12" s="55" customFormat="1" ht="29" x14ac:dyDescent="0.35">
      <c r="A54" s="2">
        <v>31</v>
      </c>
      <c r="B54" s="77" t="s">
        <v>190</v>
      </c>
      <c r="C54" s="2" t="s">
        <v>177</v>
      </c>
      <c r="D54" s="11">
        <v>2</v>
      </c>
      <c r="E54" s="45">
        <v>100</v>
      </c>
      <c r="F54" s="50">
        <f t="shared" si="0"/>
        <v>200</v>
      </c>
      <c r="H54" s="77" t="s">
        <v>190</v>
      </c>
      <c r="I54" s="105" t="s">
        <v>177</v>
      </c>
      <c r="J54" s="112">
        <v>3</v>
      </c>
      <c r="K54" s="11">
        <v>100</v>
      </c>
      <c r="L54" s="32">
        <f>J54*K54</f>
        <v>300</v>
      </c>
    </row>
    <row r="55" spans="1:12" s="55" customFormat="1" ht="15.5" x14ac:dyDescent="0.35">
      <c r="A55" s="79"/>
      <c r="B55" s="121"/>
      <c r="C55" s="122"/>
      <c r="D55" s="122"/>
      <c r="E55" s="123" t="s">
        <v>233</v>
      </c>
      <c r="F55" s="124">
        <f>SUM(F8:F54)</f>
        <v>6703.165</v>
      </c>
      <c r="H55" s="80" t="s">
        <v>234</v>
      </c>
      <c r="I55" s="81"/>
      <c r="J55" s="116"/>
      <c r="K55" s="82"/>
      <c r="L55" s="117">
        <f>SUM(L8:L54)</f>
        <v>8157.1750000000002</v>
      </c>
    </row>
  </sheetData>
  <mergeCells count="5">
    <mergeCell ref="H1:L1"/>
    <mergeCell ref="B5:D5"/>
    <mergeCell ref="B1:F1"/>
    <mergeCell ref="B2:F2"/>
    <mergeCell ref="B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32F9B-4377-4511-9100-F4A16F9EBDDC}">
  <dimension ref="A1:F55"/>
  <sheetViews>
    <sheetView workbookViewId="0"/>
  </sheetViews>
  <sheetFormatPr defaultColWidth="8.6328125" defaultRowHeight="14.5" x14ac:dyDescent="0.35"/>
  <cols>
    <col min="1" max="1" width="11.36328125" style="90" customWidth="1"/>
    <col min="2" max="2" width="48.36328125" style="91" bestFit="1" customWidth="1"/>
    <col min="3" max="3" width="5.54296875" style="5" bestFit="1" customWidth="1"/>
    <col min="4" max="4" width="10.08984375" style="5" customWidth="1"/>
    <col min="5" max="5" width="10.08984375" style="119" bestFit="1" customWidth="1"/>
    <col min="6" max="6" width="11.36328125" style="120" bestFit="1" customWidth="1"/>
    <col min="7" max="7" width="8.6328125" customWidth="1"/>
  </cols>
  <sheetData>
    <row r="1" spans="1:6" ht="21.5" thickBot="1" x14ac:dyDescent="0.65">
      <c r="A1" s="83" t="s">
        <v>72</v>
      </c>
      <c r="B1" s="343" t="s">
        <v>73</v>
      </c>
      <c r="C1" s="344"/>
      <c r="D1" s="344"/>
      <c r="E1" s="344"/>
      <c r="F1" s="345"/>
    </row>
    <row r="2" spans="1:6" ht="21.5" thickBot="1" x14ac:dyDescent="0.65">
      <c r="A2" s="83" t="s">
        <v>221</v>
      </c>
      <c r="B2" s="343"/>
      <c r="C2" s="344"/>
      <c r="D2" s="344"/>
      <c r="E2" s="344"/>
      <c r="F2" s="345"/>
    </row>
    <row r="3" spans="1:6" ht="19" thickBot="1" x14ac:dyDescent="0.6">
      <c r="A3" s="84" t="s">
        <v>74</v>
      </c>
      <c r="B3" s="346"/>
      <c r="C3" s="347"/>
      <c r="D3" s="347"/>
      <c r="E3" s="347"/>
      <c r="F3" s="348"/>
    </row>
    <row r="4" spans="1:6" ht="37.5" thickTop="1" x14ac:dyDescent="0.35">
      <c r="A4" s="85" t="s">
        <v>224</v>
      </c>
      <c r="B4" s="86" t="s">
        <v>91</v>
      </c>
      <c r="C4" s="86" t="s">
        <v>92</v>
      </c>
      <c r="D4" s="86" t="s">
        <v>201</v>
      </c>
      <c r="E4" s="127" t="s">
        <v>202</v>
      </c>
      <c r="F4" s="128" t="s">
        <v>77</v>
      </c>
    </row>
    <row r="5" spans="1:6" s="55" customFormat="1" x14ac:dyDescent="0.35">
      <c r="A5" s="62" t="s">
        <v>197</v>
      </c>
      <c r="B5" s="340" t="s">
        <v>225</v>
      </c>
      <c r="C5" s="341"/>
      <c r="D5" s="342"/>
      <c r="E5" s="46"/>
      <c r="F5" s="118"/>
    </row>
    <row r="6" spans="1:6" s="55" customFormat="1" x14ac:dyDescent="0.35">
      <c r="A6" s="62"/>
      <c r="B6" s="92" t="s">
        <v>139</v>
      </c>
      <c r="C6" s="63"/>
      <c r="D6" s="64"/>
      <c r="E6" s="46"/>
      <c r="F6" s="118"/>
    </row>
    <row r="7" spans="1:6" s="55" customFormat="1" x14ac:dyDescent="0.35">
      <c r="A7" s="65"/>
      <c r="B7" s="66" t="s">
        <v>140</v>
      </c>
      <c r="C7" s="10"/>
      <c r="D7" s="10"/>
      <c r="E7" s="50"/>
      <c r="F7" s="50"/>
    </row>
    <row r="8" spans="1:6" s="55" customFormat="1" ht="43.5" x14ac:dyDescent="0.35">
      <c r="A8" s="10">
        <v>1</v>
      </c>
      <c r="B8" s="68" t="s">
        <v>141</v>
      </c>
      <c r="C8" s="69" t="s">
        <v>226</v>
      </c>
      <c r="D8" s="10">
        <f>9*4.4</f>
        <v>39.6</v>
      </c>
      <c r="E8" s="50">
        <v>1</v>
      </c>
      <c r="F8" s="50">
        <f t="shared" ref="F8:F54" si="0">D8*E8</f>
        <v>39.6</v>
      </c>
    </row>
    <row r="9" spans="1:6" s="55" customFormat="1" ht="29" x14ac:dyDescent="0.35">
      <c r="A9" s="10">
        <v>2</v>
      </c>
      <c r="B9" s="70" t="s">
        <v>143</v>
      </c>
      <c r="C9" s="10" t="s">
        <v>210</v>
      </c>
      <c r="D9" s="20">
        <f>2*3*5</f>
        <v>30</v>
      </c>
      <c r="E9" s="50">
        <v>6</v>
      </c>
      <c r="F9" s="50">
        <f t="shared" si="0"/>
        <v>180</v>
      </c>
    </row>
    <row r="10" spans="1:6" s="55" customFormat="1" ht="29" x14ac:dyDescent="0.35">
      <c r="A10" s="10">
        <v>3</v>
      </c>
      <c r="B10" s="70" t="s">
        <v>144</v>
      </c>
      <c r="C10" s="10" t="s">
        <v>210</v>
      </c>
      <c r="D10" s="12">
        <f>10*0.4</f>
        <v>4</v>
      </c>
      <c r="E10" s="50">
        <v>50</v>
      </c>
      <c r="F10" s="50">
        <f t="shared" si="0"/>
        <v>200</v>
      </c>
    </row>
    <row r="11" spans="1:6" s="55" customFormat="1" ht="43.5" x14ac:dyDescent="0.35">
      <c r="A11" s="10">
        <v>4</v>
      </c>
      <c r="B11" s="70" t="s">
        <v>145</v>
      </c>
      <c r="C11" s="10" t="s">
        <v>210</v>
      </c>
      <c r="D11" s="12">
        <f>36*0.4*0.3</f>
        <v>4.32</v>
      </c>
      <c r="E11" s="50">
        <v>5</v>
      </c>
      <c r="F11" s="50">
        <f t="shared" si="0"/>
        <v>21.6</v>
      </c>
    </row>
    <row r="12" spans="1:6" s="55" customFormat="1" ht="43.5" x14ac:dyDescent="0.35">
      <c r="A12" s="10">
        <v>5</v>
      </c>
      <c r="B12" s="70" t="s">
        <v>146</v>
      </c>
      <c r="C12" s="10" t="s">
        <v>210</v>
      </c>
      <c r="D12" s="12">
        <f>36*0.4*0.05</f>
        <v>0.72000000000000008</v>
      </c>
      <c r="E12" s="50">
        <v>120</v>
      </c>
      <c r="F12" s="50">
        <f t="shared" si="0"/>
        <v>86.4</v>
      </c>
    </row>
    <row r="13" spans="1:6" s="55" customFormat="1" ht="72.5" x14ac:dyDescent="0.35">
      <c r="A13" s="10">
        <v>6</v>
      </c>
      <c r="B13" s="70" t="s">
        <v>147</v>
      </c>
      <c r="C13" s="10" t="s">
        <v>210</v>
      </c>
      <c r="D13" s="11">
        <f>36*0.4*0.6</f>
        <v>8.64</v>
      </c>
      <c r="E13" s="50">
        <v>50</v>
      </c>
      <c r="F13" s="50">
        <f t="shared" si="0"/>
        <v>432</v>
      </c>
    </row>
    <row r="14" spans="1:6" s="55" customFormat="1" x14ac:dyDescent="0.35">
      <c r="A14" s="65"/>
      <c r="B14" s="66" t="s">
        <v>148</v>
      </c>
      <c r="C14" s="71"/>
      <c r="D14" s="2"/>
      <c r="E14" s="46"/>
      <c r="F14" s="50">
        <f t="shared" si="0"/>
        <v>0</v>
      </c>
    </row>
    <row r="15" spans="1:6" s="55" customFormat="1" ht="72.5" x14ac:dyDescent="0.35">
      <c r="A15" s="10">
        <v>7</v>
      </c>
      <c r="B15" s="70" t="s">
        <v>149</v>
      </c>
      <c r="C15" s="10" t="s">
        <v>210</v>
      </c>
      <c r="D15" s="11">
        <f>36*0.4*0.15</f>
        <v>2.16</v>
      </c>
      <c r="E15" s="45">
        <v>280</v>
      </c>
      <c r="F15" s="50">
        <f t="shared" si="0"/>
        <v>604.80000000000007</v>
      </c>
    </row>
    <row r="16" spans="1:6" s="55" customFormat="1" ht="87" x14ac:dyDescent="0.35">
      <c r="A16" s="10">
        <v>8</v>
      </c>
      <c r="B16" s="70" t="s">
        <v>150</v>
      </c>
      <c r="C16" s="10" t="s">
        <v>210</v>
      </c>
      <c r="D16" s="11">
        <f>3.8*2.8*0.15</f>
        <v>1.5959999999999999</v>
      </c>
      <c r="E16" s="45">
        <v>280</v>
      </c>
      <c r="F16" s="50">
        <f t="shared" si="0"/>
        <v>446.87999999999994</v>
      </c>
    </row>
    <row r="17" spans="1:6" s="55" customFormat="1" x14ac:dyDescent="0.35">
      <c r="A17" s="65"/>
      <c r="B17" s="66" t="s">
        <v>151</v>
      </c>
      <c r="C17" s="10"/>
      <c r="D17" s="71"/>
      <c r="E17" s="45"/>
      <c r="F17" s="50">
        <f t="shared" si="0"/>
        <v>0</v>
      </c>
    </row>
    <row r="18" spans="1:6" s="55" customFormat="1" ht="43.5" x14ac:dyDescent="0.35">
      <c r="A18" s="10">
        <v>9</v>
      </c>
      <c r="B18" s="70" t="s">
        <v>152</v>
      </c>
      <c r="C18" s="10" t="s">
        <v>210</v>
      </c>
      <c r="D18" s="20">
        <f>((34)-(36*0.4))*0.2</f>
        <v>3.9200000000000004</v>
      </c>
      <c r="E18" s="45">
        <v>5</v>
      </c>
      <c r="F18" s="50">
        <f t="shared" si="0"/>
        <v>19.600000000000001</v>
      </c>
    </row>
    <row r="19" spans="1:6" s="55" customFormat="1" ht="29" x14ac:dyDescent="0.35">
      <c r="A19" s="10">
        <v>10</v>
      </c>
      <c r="B19" s="70" t="s">
        <v>153</v>
      </c>
      <c r="C19" s="10" t="s">
        <v>210</v>
      </c>
      <c r="D19" s="72">
        <f>((34)-(36*0.4))*0.2</f>
        <v>3.9200000000000004</v>
      </c>
      <c r="E19" s="45">
        <v>20</v>
      </c>
      <c r="F19" s="50">
        <f t="shared" si="0"/>
        <v>78.400000000000006</v>
      </c>
    </row>
    <row r="20" spans="1:6" s="55" customFormat="1" x14ac:dyDescent="0.35">
      <c r="A20" s="10"/>
      <c r="B20" s="66" t="s">
        <v>154</v>
      </c>
      <c r="C20" s="10"/>
      <c r="D20" s="73"/>
      <c r="E20" s="45"/>
      <c r="F20" s="50">
        <f t="shared" si="0"/>
        <v>0</v>
      </c>
    </row>
    <row r="21" spans="1:6" s="55" customFormat="1" ht="43.5" x14ac:dyDescent="0.35">
      <c r="A21" s="10">
        <v>11</v>
      </c>
      <c r="B21" s="70" t="s">
        <v>155</v>
      </c>
      <c r="C21" s="10" t="s">
        <v>210</v>
      </c>
      <c r="D21" s="73">
        <f>34*0.05</f>
        <v>1.7000000000000002</v>
      </c>
      <c r="E21" s="45">
        <v>100</v>
      </c>
      <c r="F21" s="50">
        <f t="shared" si="0"/>
        <v>170.00000000000003</v>
      </c>
    </row>
    <row r="22" spans="1:6" s="55" customFormat="1" ht="29" x14ac:dyDescent="0.35">
      <c r="A22" s="10">
        <v>12</v>
      </c>
      <c r="B22" s="74" t="s">
        <v>156</v>
      </c>
      <c r="C22" s="69" t="s">
        <v>226</v>
      </c>
      <c r="D22" s="2">
        <f>36</f>
        <v>36</v>
      </c>
      <c r="E22" s="45">
        <v>15</v>
      </c>
      <c r="F22" s="50">
        <f t="shared" si="0"/>
        <v>540</v>
      </c>
    </row>
    <row r="23" spans="1:6" s="55" customFormat="1" ht="58" x14ac:dyDescent="0.35">
      <c r="A23" s="10">
        <v>13</v>
      </c>
      <c r="B23" s="74" t="s">
        <v>157</v>
      </c>
      <c r="C23" s="69" t="s">
        <v>226</v>
      </c>
      <c r="D23" s="2">
        <f>2*((8*3)+9+6.3+3.2)</f>
        <v>85</v>
      </c>
      <c r="E23" s="45">
        <v>15</v>
      </c>
      <c r="F23" s="50">
        <f t="shared" si="0"/>
        <v>1275</v>
      </c>
    </row>
    <row r="24" spans="1:6" s="55" customFormat="1" x14ac:dyDescent="0.35">
      <c r="A24" s="65"/>
      <c r="B24" s="95" t="s">
        <v>139</v>
      </c>
      <c r="C24" s="2"/>
      <c r="D24" s="75"/>
      <c r="E24" s="45"/>
      <c r="F24" s="50"/>
    </row>
    <row r="25" spans="1:6" s="55" customFormat="1" x14ac:dyDescent="0.35">
      <c r="A25" s="10"/>
      <c r="B25" s="76" t="s">
        <v>158</v>
      </c>
      <c r="C25" s="1"/>
      <c r="D25" s="1"/>
      <c r="E25" s="50"/>
      <c r="F25" s="50"/>
    </row>
    <row r="26" spans="1:6" s="55" customFormat="1" ht="58" x14ac:dyDescent="0.35">
      <c r="A26" s="10">
        <v>14</v>
      </c>
      <c r="B26" s="74" t="s">
        <v>159</v>
      </c>
      <c r="C26" s="69" t="s">
        <v>226</v>
      </c>
      <c r="D26" s="2">
        <f>36*3</f>
        <v>108</v>
      </c>
      <c r="E26" s="45">
        <v>14</v>
      </c>
      <c r="F26" s="50">
        <f t="shared" si="0"/>
        <v>1512</v>
      </c>
    </row>
    <row r="27" spans="1:6" s="55" customFormat="1" x14ac:dyDescent="0.35">
      <c r="A27" s="10"/>
      <c r="B27" s="76" t="s">
        <v>160</v>
      </c>
      <c r="C27" s="1"/>
      <c r="D27" s="1"/>
      <c r="E27" s="46"/>
      <c r="F27" s="50">
        <f t="shared" si="0"/>
        <v>0</v>
      </c>
    </row>
    <row r="28" spans="1:6" s="55" customFormat="1" ht="87" x14ac:dyDescent="0.35">
      <c r="A28" s="10">
        <v>15</v>
      </c>
      <c r="B28" s="74" t="s">
        <v>161</v>
      </c>
      <c r="C28" s="10" t="s">
        <v>210</v>
      </c>
      <c r="D28" s="11">
        <f>36*0.15*0.15</f>
        <v>0.80999999999999994</v>
      </c>
      <c r="E28" s="45">
        <v>300</v>
      </c>
      <c r="F28" s="50">
        <f t="shared" si="0"/>
        <v>242.99999999999997</v>
      </c>
    </row>
    <row r="29" spans="1:6" s="55" customFormat="1" x14ac:dyDescent="0.35">
      <c r="A29" s="2"/>
      <c r="B29" s="66" t="s">
        <v>162</v>
      </c>
      <c r="C29" s="1"/>
      <c r="D29" s="1"/>
      <c r="E29" s="45"/>
      <c r="F29" s="50"/>
    </row>
    <row r="30" spans="1:6" s="55" customFormat="1" ht="43.5" x14ac:dyDescent="0.35">
      <c r="A30" s="2">
        <v>16</v>
      </c>
      <c r="B30" s="74" t="s">
        <v>163</v>
      </c>
      <c r="C30" s="10" t="s">
        <v>131</v>
      </c>
      <c r="D30" s="11">
        <v>1</v>
      </c>
      <c r="E30" s="45">
        <v>300</v>
      </c>
      <c r="F30" s="50">
        <f t="shared" si="0"/>
        <v>300</v>
      </c>
    </row>
    <row r="31" spans="1:6" s="55" customFormat="1" ht="58" x14ac:dyDescent="0.35">
      <c r="A31" s="2">
        <v>17</v>
      </c>
      <c r="B31" s="74" t="s">
        <v>164</v>
      </c>
      <c r="C31" s="10" t="s">
        <v>131</v>
      </c>
      <c r="D31" s="11">
        <v>1</v>
      </c>
      <c r="E31" s="45">
        <v>150</v>
      </c>
      <c r="F31" s="50">
        <f t="shared" si="0"/>
        <v>150</v>
      </c>
    </row>
    <row r="32" spans="1:6" s="55" customFormat="1" ht="43.5" x14ac:dyDescent="0.35">
      <c r="A32" s="2">
        <v>18</v>
      </c>
      <c r="B32" s="77" t="s">
        <v>165</v>
      </c>
      <c r="C32" s="2" t="s">
        <v>131</v>
      </c>
      <c r="D32" s="11">
        <v>1</v>
      </c>
      <c r="E32" s="45">
        <v>120</v>
      </c>
      <c r="F32" s="50">
        <f t="shared" si="0"/>
        <v>120</v>
      </c>
    </row>
    <row r="33" spans="1:6" s="55" customFormat="1" x14ac:dyDescent="0.35">
      <c r="A33" s="1"/>
      <c r="B33" s="95" t="s">
        <v>166</v>
      </c>
      <c r="C33" s="1"/>
      <c r="D33" s="1"/>
      <c r="E33" s="45"/>
      <c r="F33" s="50">
        <f t="shared" si="0"/>
        <v>0</v>
      </c>
    </row>
    <row r="34" spans="1:6" s="55" customFormat="1" ht="116" x14ac:dyDescent="0.35">
      <c r="A34" s="2">
        <v>19</v>
      </c>
      <c r="B34" s="74" t="s">
        <v>167</v>
      </c>
      <c r="C34" s="69" t="s">
        <v>226</v>
      </c>
      <c r="D34" s="11">
        <f>6.3*2.2*1.15</f>
        <v>15.939</v>
      </c>
      <c r="E34" s="45">
        <v>20</v>
      </c>
      <c r="F34" s="50">
        <f t="shared" si="0"/>
        <v>318.77999999999997</v>
      </c>
    </row>
    <row r="35" spans="1:6" s="55" customFormat="1" x14ac:dyDescent="0.35">
      <c r="A35" s="2">
        <v>20</v>
      </c>
      <c r="B35" s="1" t="s">
        <v>168</v>
      </c>
      <c r="C35" s="69" t="s">
        <v>169</v>
      </c>
      <c r="D35" s="11">
        <v>20</v>
      </c>
      <c r="E35" s="45">
        <v>4</v>
      </c>
      <c r="F35" s="50">
        <f t="shared" si="0"/>
        <v>80</v>
      </c>
    </row>
    <row r="36" spans="1:6" s="55" customFormat="1" x14ac:dyDescent="0.35">
      <c r="A36" s="1"/>
      <c r="B36" s="95" t="s">
        <v>170</v>
      </c>
      <c r="C36" s="1"/>
      <c r="D36" s="1"/>
      <c r="E36" s="45"/>
      <c r="F36" s="50">
        <f t="shared" si="0"/>
        <v>0</v>
      </c>
    </row>
    <row r="37" spans="1:6" s="55" customFormat="1" ht="29" x14ac:dyDescent="0.35">
      <c r="A37" s="2">
        <v>21</v>
      </c>
      <c r="B37" s="77" t="s">
        <v>171</v>
      </c>
      <c r="C37" s="69" t="s">
        <v>226</v>
      </c>
      <c r="D37" s="2">
        <f>D26*2</f>
        <v>216</v>
      </c>
      <c r="E37" s="45">
        <v>3</v>
      </c>
      <c r="F37" s="50">
        <f t="shared" si="0"/>
        <v>648</v>
      </c>
    </row>
    <row r="38" spans="1:6" s="55" customFormat="1" ht="29" x14ac:dyDescent="0.35">
      <c r="A38" s="2">
        <v>22</v>
      </c>
      <c r="B38" s="77" t="s">
        <v>172</v>
      </c>
      <c r="C38" s="69" t="s">
        <v>226</v>
      </c>
      <c r="D38" s="2">
        <f>(21*1)*2</f>
        <v>42</v>
      </c>
      <c r="E38" s="45">
        <v>1</v>
      </c>
      <c r="F38" s="50">
        <f t="shared" si="0"/>
        <v>42</v>
      </c>
    </row>
    <row r="39" spans="1:6" s="55" customFormat="1" ht="43.5" x14ac:dyDescent="0.35">
      <c r="A39" s="2">
        <v>23</v>
      </c>
      <c r="B39" s="77" t="s">
        <v>173</v>
      </c>
      <c r="C39" s="69" t="s">
        <v>226</v>
      </c>
      <c r="D39" s="2">
        <f>D38</f>
        <v>42</v>
      </c>
      <c r="E39" s="45">
        <v>3</v>
      </c>
      <c r="F39" s="50">
        <f t="shared" si="0"/>
        <v>126</v>
      </c>
    </row>
    <row r="40" spans="1:6" s="55" customFormat="1" x14ac:dyDescent="0.35">
      <c r="A40" s="1"/>
      <c r="B40" s="95" t="s">
        <v>174</v>
      </c>
      <c r="C40" s="1"/>
      <c r="D40" s="1"/>
      <c r="E40" s="45"/>
      <c r="F40" s="50"/>
    </row>
    <row r="41" spans="1:6" s="55" customFormat="1" x14ac:dyDescent="0.35">
      <c r="A41" s="2"/>
      <c r="B41" s="76" t="s">
        <v>175</v>
      </c>
      <c r="C41" s="1"/>
      <c r="D41" s="1"/>
      <c r="E41" s="45"/>
      <c r="F41" s="50"/>
    </row>
    <row r="42" spans="1:6" s="55" customFormat="1" ht="43.5" x14ac:dyDescent="0.35">
      <c r="A42" s="2">
        <v>24</v>
      </c>
      <c r="B42" s="77" t="s">
        <v>176</v>
      </c>
      <c r="C42" s="2" t="s">
        <v>177</v>
      </c>
      <c r="D42" s="11">
        <v>3</v>
      </c>
      <c r="E42" s="45">
        <v>125</v>
      </c>
      <c r="F42" s="50">
        <f t="shared" si="0"/>
        <v>375</v>
      </c>
    </row>
    <row r="43" spans="1:6" s="55" customFormat="1" x14ac:dyDescent="0.35">
      <c r="A43" s="1"/>
      <c r="B43" s="76" t="s">
        <v>178</v>
      </c>
      <c r="C43" s="1"/>
      <c r="D43" s="1"/>
      <c r="E43" s="45"/>
      <c r="F43" s="50">
        <f t="shared" si="0"/>
        <v>0</v>
      </c>
    </row>
    <row r="44" spans="1:6" s="55" customFormat="1" ht="43.5" x14ac:dyDescent="0.35">
      <c r="A44" s="2">
        <v>25</v>
      </c>
      <c r="B44" s="74" t="s">
        <v>179</v>
      </c>
      <c r="C44" s="2" t="s">
        <v>177</v>
      </c>
      <c r="D44" s="11">
        <v>3</v>
      </c>
      <c r="E44" s="45">
        <v>15</v>
      </c>
      <c r="F44" s="50">
        <f t="shared" si="0"/>
        <v>45</v>
      </c>
    </row>
    <row r="45" spans="1:6" s="55" customFormat="1" x14ac:dyDescent="0.35">
      <c r="A45" s="2"/>
      <c r="B45" s="95" t="s">
        <v>180</v>
      </c>
      <c r="C45" s="2"/>
      <c r="D45" s="11"/>
      <c r="E45" s="45"/>
      <c r="F45" s="50"/>
    </row>
    <row r="46" spans="1:6" s="55" customFormat="1" x14ac:dyDescent="0.35">
      <c r="A46" s="2"/>
      <c r="B46" s="76" t="s">
        <v>181</v>
      </c>
      <c r="C46" s="1"/>
      <c r="D46" s="1"/>
      <c r="E46" s="45"/>
      <c r="F46" s="50"/>
    </row>
    <row r="47" spans="1:6" s="55" customFormat="1" x14ac:dyDescent="0.35">
      <c r="A47" s="2">
        <v>26</v>
      </c>
      <c r="B47" s="78" t="s">
        <v>182</v>
      </c>
      <c r="C47" s="2" t="s">
        <v>177</v>
      </c>
      <c r="D47" s="11">
        <v>1</v>
      </c>
      <c r="E47" s="45">
        <v>50</v>
      </c>
      <c r="F47" s="50">
        <f t="shared" si="0"/>
        <v>50</v>
      </c>
    </row>
    <row r="48" spans="1:6" s="55" customFormat="1" ht="43.5" x14ac:dyDescent="0.35">
      <c r="A48" s="2">
        <v>27</v>
      </c>
      <c r="B48" s="78" t="s">
        <v>183</v>
      </c>
      <c r="C48" s="2" t="s">
        <v>177</v>
      </c>
      <c r="D48" s="11">
        <v>2</v>
      </c>
      <c r="E48" s="45">
        <v>150</v>
      </c>
      <c r="F48" s="50">
        <f t="shared" si="0"/>
        <v>300</v>
      </c>
    </row>
    <row r="49" spans="1:6" s="55" customFormat="1" ht="43.5" x14ac:dyDescent="0.35">
      <c r="A49" s="2">
        <v>28</v>
      </c>
      <c r="B49" s="78" t="s">
        <v>184</v>
      </c>
      <c r="C49" s="2" t="s">
        <v>177</v>
      </c>
      <c r="D49" s="11">
        <v>1</v>
      </c>
      <c r="E49" s="45">
        <v>120</v>
      </c>
      <c r="F49" s="50">
        <f t="shared" si="0"/>
        <v>120</v>
      </c>
    </row>
    <row r="50" spans="1:6" s="55" customFormat="1" ht="29" x14ac:dyDescent="0.35">
      <c r="A50" s="2">
        <v>29</v>
      </c>
      <c r="B50" s="78" t="s">
        <v>185</v>
      </c>
      <c r="C50" s="2" t="s">
        <v>177</v>
      </c>
      <c r="D50" s="11">
        <v>3</v>
      </c>
      <c r="E50" s="45">
        <v>100</v>
      </c>
      <c r="F50" s="50">
        <f t="shared" si="0"/>
        <v>300</v>
      </c>
    </row>
    <row r="51" spans="1:6" s="55" customFormat="1" ht="29" x14ac:dyDescent="0.35">
      <c r="A51" s="2">
        <v>30</v>
      </c>
      <c r="B51" s="70" t="s">
        <v>186</v>
      </c>
      <c r="C51" s="2" t="s">
        <v>177</v>
      </c>
      <c r="D51" s="11">
        <v>3</v>
      </c>
      <c r="E51" s="45">
        <v>50</v>
      </c>
      <c r="F51" s="50">
        <f t="shared" si="0"/>
        <v>150</v>
      </c>
    </row>
    <row r="52" spans="1:6" s="55" customFormat="1" ht="29" x14ac:dyDescent="0.35">
      <c r="A52" s="2">
        <v>31</v>
      </c>
      <c r="B52" s="70" t="s">
        <v>187</v>
      </c>
      <c r="C52" s="2" t="s">
        <v>188</v>
      </c>
      <c r="D52" s="11">
        <v>1</v>
      </c>
      <c r="E52" s="45">
        <v>200</v>
      </c>
      <c r="F52" s="50">
        <f t="shared" si="0"/>
        <v>200</v>
      </c>
    </row>
    <row r="53" spans="1:6" s="55" customFormat="1" x14ac:dyDescent="0.35">
      <c r="A53" s="1"/>
      <c r="B53" s="95" t="s">
        <v>189</v>
      </c>
      <c r="C53" s="1"/>
      <c r="D53" s="1"/>
      <c r="E53" s="45"/>
      <c r="F53" s="50"/>
    </row>
    <row r="54" spans="1:6" s="55" customFormat="1" ht="29" x14ac:dyDescent="0.35">
      <c r="A54" s="2">
        <v>31</v>
      </c>
      <c r="B54" s="77" t="s">
        <v>190</v>
      </c>
      <c r="C54" s="2" t="s">
        <v>177</v>
      </c>
      <c r="D54" s="11">
        <v>3</v>
      </c>
      <c r="E54" s="45">
        <v>100</v>
      </c>
      <c r="F54" s="50">
        <f t="shared" si="0"/>
        <v>300</v>
      </c>
    </row>
    <row r="55" spans="1:6" s="55" customFormat="1" ht="15.5" x14ac:dyDescent="0.35">
      <c r="A55" s="79"/>
      <c r="B55" s="121"/>
      <c r="C55" s="122"/>
      <c r="D55" s="122"/>
      <c r="E55" s="123" t="s">
        <v>234</v>
      </c>
      <c r="F55" s="124">
        <f>SUM(F8:F54)</f>
        <v>9474.06</v>
      </c>
    </row>
  </sheetData>
  <mergeCells count="4">
    <mergeCell ref="B1:F1"/>
    <mergeCell ref="B2:F2"/>
    <mergeCell ref="B3:F3"/>
    <mergeCell ref="B5:D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General Preliminaries</vt:lpstr>
      <vt:lpstr>Summary For Lot 11</vt:lpstr>
      <vt:lpstr>Ceel-Jaale PS</vt:lpstr>
      <vt:lpstr>Hiran-Bile PS</vt:lpstr>
      <vt:lpstr>3Classrooms</vt:lpstr>
      <vt:lpstr>2 Classrooms</vt:lpstr>
      <vt:lpstr>4 Classrooms</vt:lpstr>
      <vt:lpstr>Two Toilets</vt:lpstr>
      <vt:lpstr>3Toilets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Eng A. Osman Hassan</dc:creator>
  <cp:keywords/>
  <dc:description/>
  <cp:lastModifiedBy>Mussa Hassan, Mohamed</cp:lastModifiedBy>
  <cp:revision/>
  <dcterms:created xsi:type="dcterms:W3CDTF">2015-06-05T18:17:20Z</dcterms:created>
  <dcterms:modified xsi:type="dcterms:W3CDTF">2025-09-29T10:41:57Z</dcterms:modified>
  <cp:category/>
  <cp:contentStatus/>
</cp:coreProperties>
</file>