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defaultThemeVersion="166925"/>
  <mc:AlternateContent xmlns:mc="http://schemas.openxmlformats.org/markup-compatibility/2006">
    <mc:Choice Requires="x15">
      <x15ac:absPath xmlns:x15ac="http://schemas.microsoft.com/office/spreadsheetml/2010/11/ac" url="C:\Users\A.Hassan4\Desktop\New GPE 2024-2026\Technical assessment in SS schools\Hirshabelle\Hiiraan\LOT-3 MATABAN DISTRICT\"/>
    </mc:Choice>
  </mc:AlternateContent>
  <xr:revisionPtr revIDLastSave="0" documentId="13_ncr:1_{F1BA47F7-4946-4DEB-B3B3-D736F42F103D}" xr6:coauthVersionLast="36" xr6:coauthVersionMax="36" xr10:uidLastSave="{00000000-0000-0000-0000-000000000000}"/>
  <bookViews>
    <workbookView xWindow="0" yWindow="0" windowWidth="20490" windowHeight="7425" activeTab="3" xr2:uid="{1411C7CB-7810-4D87-A4E9-D703C961828D}"/>
  </bookViews>
  <sheets>
    <sheet name="Lot-3 Summary Sheet" sheetId="4" r:id="rId1"/>
    <sheet name="Qodqod PS" sheetId="1" r:id="rId2"/>
    <sheet name="Girijir PS" sheetId="2" r:id="rId3"/>
    <sheet name="Mataban-Alfurqan PS" sheetId="3" r:id="rId4"/>
  </sheets>
  <definedNames>
    <definedName name="_xlnm.Print_Area" localSheetId="0">'Lot-3 Summary Sheet'!$A$1:$C$16</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116" i="3" l="1"/>
  <c r="B115" i="3"/>
  <c r="B113" i="3"/>
  <c r="F110" i="3"/>
  <c r="F111" i="3" s="1"/>
  <c r="F116" i="3" s="1"/>
  <c r="F106" i="3"/>
  <c r="F105" i="3"/>
  <c r="F104" i="3"/>
  <c r="D104" i="3"/>
  <c r="F103" i="3"/>
  <c r="D101" i="3"/>
  <c r="F101" i="3" s="1"/>
  <c r="F100" i="3"/>
  <c r="D100" i="3"/>
  <c r="D102" i="3" s="1"/>
  <c r="F102" i="3" s="1"/>
  <c r="F99" i="3"/>
  <c r="D99" i="3"/>
  <c r="F98" i="3"/>
  <c r="D96" i="3"/>
  <c r="F96" i="3" s="1"/>
  <c r="F95" i="3"/>
  <c r="D95" i="3"/>
  <c r="F94" i="3"/>
  <c r="D94" i="3"/>
  <c r="D93" i="3"/>
  <c r="F93" i="3" s="1"/>
  <c r="D92" i="3"/>
  <c r="F92" i="3" s="1"/>
  <c r="F91" i="3"/>
  <c r="D91" i="3"/>
  <c r="F90" i="3"/>
  <c r="D90" i="3"/>
  <c r="D88" i="3"/>
  <c r="D89" i="3" s="1"/>
  <c r="F87" i="3"/>
  <c r="D87" i="3"/>
  <c r="F86" i="3"/>
  <c r="D86" i="3"/>
  <c r="D85" i="3"/>
  <c r="F85" i="3" s="1"/>
  <c r="D84" i="3"/>
  <c r="F84" i="3" s="1"/>
  <c r="F83" i="3"/>
  <c r="D83" i="3"/>
  <c r="F82" i="3"/>
  <c r="D82" i="3"/>
  <c r="D81" i="3"/>
  <c r="F81" i="3" s="1"/>
  <c r="D80" i="3"/>
  <c r="F80" i="3" s="1"/>
  <c r="B76" i="3"/>
  <c r="B114" i="3" s="1"/>
  <c r="F75" i="3"/>
  <c r="F73" i="3"/>
  <c r="F72" i="3"/>
  <c r="F71" i="3"/>
  <c r="D69" i="3"/>
  <c r="F69" i="3" s="1"/>
  <c r="F68" i="3"/>
  <c r="D68" i="3"/>
  <c r="F67" i="3"/>
  <c r="D67" i="3"/>
  <c r="F61" i="3"/>
  <c r="F58" i="3"/>
  <c r="F57" i="3"/>
  <c r="F56" i="3"/>
  <c r="F55" i="3"/>
  <c r="F54" i="3"/>
  <c r="F53" i="3"/>
  <c r="F49" i="3"/>
  <c r="F47" i="3"/>
  <c r="D41" i="3"/>
  <c r="D42" i="3" s="1"/>
  <c r="F38" i="3"/>
  <c r="D37" i="3"/>
  <c r="F37" i="3" s="1"/>
  <c r="F36" i="3"/>
  <c r="D36" i="3"/>
  <c r="F33" i="3"/>
  <c r="F32" i="3"/>
  <c r="F31" i="3"/>
  <c r="D29" i="3"/>
  <c r="F29" i="3" s="1"/>
  <c r="F27" i="3"/>
  <c r="D27" i="3"/>
  <c r="F23" i="3"/>
  <c r="D22" i="3"/>
  <c r="F22" i="3" s="1"/>
  <c r="D21" i="3"/>
  <c r="F21" i="3" s="1"/>
  <c r="D19" i="3"/>
  <c r="F19" i="3" s="1"/>
  <c r="F18" i="3"/>
  <c r="D18" i="3"/>
  <c r="F16" i="3"/>
  <c r="D16" i="3"/>
  <c r="D15" i="3"/>
  <c r="F15" i="3" s="1"/>
  <c r="D13" i="3"/>
  <c r="F13" i="3" s="1"/>
  <c r="F12" i="3"/>
  <c r="D12" i="3"/>
  <c r="D11" i="3"/>
  <c r="F11" i="3" s="1"/>
  <c r="D10" i="3"/>
  <c r="F10" i="3" s="1"/>
  <c r="D9" i="3"/>
  <c r="F9" i="3" s="1"/>
  <c r="F8" i="3"/>
  <c r="D8" i="3"/>
  <c r="F76" i="3" l="1"/>
  <c r="F114" i="3" s="1"/>
  <c r="D43" i="3"/>
  <c r="F43" i="3" s="1"/>
  <c r="F42" i="3"/>
  <c r="F89" i="3"/>
  <c r="D97" i="3"/>
  <c r="F97" i="3" s="1"/>
  <c r="F88" i="3"/>
  <c r="F107" i="3" s="1"/>
  <c r="F115" i="3" s="1"/>
  <c r="F41" i="3"/>
  <c r="F62" i="3" s="1"/>
  <c r="F63" i="3" s="1"/>
  <c r="F113" i="3" s="1"/>
  <c r="F118" i="3" l="1"/>
  <c r="C8" i="4" s="1"/>
  <c r="B51" i="2"/>
  <c r="B49" i="2"/>
  <c r="B48" i="2"/>
  <c r="B42" i="2"/>
  <c r="B50" i="2" s="1"/>
  <c r="F41" i="2"/>
  <c r="F39" i="2"/>
  <c r="F38" i="2"/>
  <c r="F37" i="2"/>
  <c r="D34" i="2"/>
  <c r="F34" i="2" s="1"/>
  <c r="D33" i="2"/>
  <c r="F33" i="2" s="1"/>
  <c r="B117" i="1"/>
  <c r="B116" i="1"/>
  <c r="B115" i="1"/>
  <c r="B114" i="1"/>
  <c r="B76" i="1"/>
  <c r="F75" i="1"/>
  <c r="F73" i="1"/>
  <c r="F72" i="1"/>
  <c r="F71" i="1"/>
  <c r="D68" i="1"/>
  <c r="F68" i="1" s="1"/>
  <c r="D67" i="1"/>
  <c r="F67" i="1" s="1"/>
  <c r="F61" i="1"/>
  <c r="F58" i="1"/>
  <c r="F57" i="1"/>
  <c r="F56" i="1"/>
  <c r="F55" i="1"/>
  <c r="F54" i="1"/>
  <c r="F53" i="1"/>
  <c r="F49" i="1"/>
  <c r="F47" i="1"/>
  <c r="D41" i="1"/>
  <c r="D42" i="1" s="1"/>
  <c r="F38" i="1"/>
  <c r="F37" i="1"/>
  <c r="D37" i="1"/>
  <c r="D36" i="1"/>
  <c r="F36" i="1" s="1"/>
  <c r="F33" i="1"/>
  <c r="F32" i="1"/>
  <c r="F31" i="1"/>
  <c r="D29" i="1"/>
  <c r="F29" i="1" s="1"/>
  <c r="D27" i="1"/>
  <c r="F27" i="1" s="1"/>
  <c r="F23" i="1"/>
  <c r="D22" i="1"/>
  <c r="F22" i="1" s="1"/>
  <c r="D21" i="1"/>
  <c r="F21" i="1" s="1"/>
  <c r="D18" i="1"/>
  <c r="D19" i="1" s="1"/>
  <c r="F19" i="1" s="1"/>
  <c r="D16" i="1"/>
  <c r="F16" i="1" s="1"/>
  <c r="D15" i="1"/>
  <c r="F15" i="1" s="1"/>
  <c r="F13" i="1"/>
  <c r="D13" i="1"/>
  <c r="D12" i="1"/>
  <c r="F12" i="1" s="1"/>
  <c r="D11" i="1"/>
  <c r="F11" i="1" s="1"/>
  <c r="D10" i="1"/>
  <c r="F10" i="1" s="1"/>
  <c r="F9" i="1"/>
  <c r="D9" i="1"/>
  <c r="D8" i="1"/>
  <c r="F8" i="1" s="1"/>
  <c r="D35" i="2" l="1"/>
  <c r="F35" i="2" s="1"/>
  <c r="F42" i="2" s="1"/>
  <c r="F50" i="2" s="1"/>
  <c r="D69" i="1"/>
  <c r="F69" i="1" s="1"/>
  <c r="F76" i="1" s="1"/>
  <c r="F115" i="1" s="1"/>
  <c r="D43" i="1"/>
  <c r="F43" i="1" s="1"/>
  <c r="F42" i="1"/>
  <c r="F41" i="1"/>
  <c r="F18" i="1"/>
  <c r="F62" i="1" s="1"/>
  <c r="F63" i="1" s="1"/>
  <c r="F114" i="1" s="1"/>
  <c r="F45" i="2" l="1"/>
  <c r="F46" i="2" s="1"/>
  <c r="F51" i="2" s="1"/>
  <c r="F28" i="2"/>
  <c r="D27" i="2"/>
  <c r="F27" i="2" s="1"/>
  <c r="F26" i="2"/>
  <c r="F25" i="2"/>
  <c r="F24" i="2"/>
  <c r="F23" i="2"/>
  <c r="D22" i="2"/>
  <c r="F22" i="2" s="1"/>
  <c r="D21" i="2"/>
  <c r="F21" i="2" s="1"/>
  <c r="D20" i="2"/>
  <c r="F20" i="2" s="1"/>
  <c r="D19" i="2"/>
  <c r="F19" i="2" s="1"/>
  <c r="F15" i="2"/>
  <c r="F14" i="2"/>
  <c r="F13" i="2"/>
  <c r="F12" i="2"/>
  <c r="D11" i="2"/>
  <c r="F11" i="2" s="1"/>
  <c r="D10" i="2"/>
  <c r="F10" i="2" s="1"/>
  <c r="D9" i="2"/>
  <c r="F9" i="2" s="1"/>
  <c r="D8" i="2"/>
  <c r="F8" i="2" s="1"/>
  <c r="D7" i="2"/>
  <c r="F7" i="2" s="1"/>
  <c r="F111" i="1"/>
  <c r="F112" i="1" s="1"/>
  <c r="F117" i="1" s="1"/>
  <c r="F106" i="1"/>
  <c r="F105" i="1"/>
  <c r="D104" i="1"/>
  <c r="F104" i="1" s="1"/>
  <c r="F103" i="1"/>
  <c r="D100" i="1"/>
  <c r="D102" i="1" s="1"/>
  <c r="F102" i="1" s="1"/>
  <c r="D99" i="1"/>
  <c r="F99" i="1" s="1"/>
  <c r="F98" i="1"/>
  <c r="D97" i="1"/>
  <c r="F97" i="1" s="1"/>
  <c r="F96" i="1"/>
  <c r="D96" i="1"/>
  <c r="D95" i="1"/>
  <c r="F95" i="1" s="1"/>
  <c r="D94" i="1"/>
  <c r="F94" i="1" s="1"/>
  <c r="D93" i="1"/>
  <c r="F93" i="1" s="1"/>
  <c r="D92" i="1"/>
  <c r="F92" i="1" s="1"/>
  <c r="D91" i="1"/>
  <c r="F91" i="1" s="1"/>
  <c r="D90" i="1"/>
  <c r="F90" i="1" s="1"/>
  <c r="D88" i="1"/>
  <c r="D89" i="1" s="1"/>
  <c r="F89" i="1" s="1"/>
  <c r="D87" i="1"/>
  <c r="F87" i="1" s="1"/>
  <c r="D86" i="1"/>
  <c r="F86" i="1" s="1"/>
  <c r="D85" i="1"/>
  <c r="F85" i="1" s="1"/>
  <c r="D84" i="1"/>
  <c r="F84" i="1" s="1"/>
  <c r="D83" i="1"/>
  <c r="F83" i="1" s="1"/>
  <c r="D82" i="1"/>
  <c r="F82" i="1" s="1"/>
  <c r="D81" i="1"/>
  <c r="F81" i="1" s="1"/>
  <c r="D80" i="1"/>
  <c r="F80" i="1" s="1"/>
  <c r="F16" i="2" l="1"/>
  <c r="F48" i="2" s="1"/>
  <c r="F53" i="2" s="1"/>
  <c r="C7" i="4" s="1"/>
  <c r="D101" i="1"/>
  <c r="F101" i="1" s="1"/>
  <c r="F100" i="1"/>
  <c r="F107" i="1" s="1"/>
  <c r="F116" i="1" s="1"/>
  <c r="F119" i="1" s="1"/>
  <c r="C6" i="4" s="1"/>
  <c r="F29" i="2"/>
  <c r="F49" i="2" s="1"/>
  <c r="F88" i="1"/>
  <c r="C10" i="4" l="1"/>
</calcChain>
</file>

<file path=xl/sharedStrings.xml><?xml version="1.0" encoding="utf-8"?>
<sst xmlns="http://schemas.openxmlformats.org/spreadsheetml/2006/main" count="482" uniqueCount="178">
  <si>
    <t>Project:</t>
  </si>
  <si>
    <t>GPE/STG</t>
  </si>
  <si>
    <t>Work</t>
  </si>
  <si>
    <t>New classrooms in Qodqod primary school,</t>
  </si>
  <si>
    <t>Location:</t>
  </si>
  <si>
    <t>Item</t>
  </si>
  <si>
    <t>Description</t>
  </si>
  <si>
    <t>Unit</t>
  </si>
  <si>
    <t>Quantity</t>
  </si>
  <si>
    <t xml:space="preserve">Rate USD </t>
  </si>
  <si>
    <t>Amount USD</t>
  </si>
  <si>
    <t>A</t>
  </si>
  <si>
    <t>SUBSTRUCTURE WORKS</t>
  </si>
  <si>
    <t xml:space="preserve">Earthworks and Excavations </t>
  </si>
  <si>
    <t xml:space="preserve">Clear site of all bushes, grab up roots before work commences and burn all arisings. Mobilize and transport all necessary materials on site. </t>
  </si>
  <si>
    <t>M2</t>
  </si>
  <si>
    <t>Excavate latrine pit of dimensions 2m wide by 3m long to depth of 5m from existing ground level.</t>
  </si>
  <si>
    <t>M3</t>
  </si>
  <si>
    <t>construction of 15cm thick of stone wall for four sides of pit latrine with dimension of 10m long and 5m deep.</t>
  </si>
  <si>
    <t xml:space="preserve">Excavate foundoutation trench with dimension of  (0.40m width x 0.3m deep x length). Remove away from the site all surplus and un necessary materials. </t>
  </si>
  <si>
    <t>Lay 50 mm blinding layer-1:2:4 concrete (40 mm aggregate size) under the rubble stone  foundation base as  directed by SCI Engineer.</t>
  </si>
  <si>
    <t xml:space="preserve">Construction of Rubble stone foundation, all joints between stone should filled with cement and sand with mortor ration of 1:4. (0.6m high x 0.4m wide x 36.1m length) 30cm above ground level, depends on the nature of the land. </t>
  </si>
  <si>
    <t>Concrete works</t>
  </si>
  <si>
    <t>15cm R.C (1:2:4 mix) in No.1. Ground beam with re-bars 4N0. Y12 &amp; R6 links @ 250 mm c/c. (0.40m x 0.15m). Concrete should be vibrated using by hand vibrated machine to remove air pockets/spaces. Curing should be 4 days ( twice each day).</t>
  </si>
  <si>
    <t>Hardcore filling</t>
  </si>
  <si>
    <t>200mm Return, fill and well ram selected excavated materials around foundations. Remove surplus excavated materials from site.</t>
  </si>
  <si>
    <t>200mm thick hardcore bed well compacted and levelled under floors and veranda.</t>
  </si>
  <si>
    <t>Floor Construction</t>
  </si>
  <si>
    <t>Cement and sand (mix 1:4) in 3cm thick screed bed trowelled hard and smooth to receive  floor tiles (measured separately).</t>
  </si>
  <si>
    <t>300x300x8mm thick non-slip ceramic floor tiles to latrine floor on cement and sand backing.</t>
  </si>
  <si>
    <t>300x300x8mm thick Ceramic wall tiles for internal latrine walls and hand washing areas, joints should be filled with 1:4 cement and sand and height should be 2m.</t>
  </si>
  <si>
    <t xml:space="preserve">Walling </t>
  </si>
  <si>
    <t>Construction of 150mm hallow block walling, bedded and jointed in cement and sand with ration of  (mix 1:4) mortar. The hieght up to 2.9m from the foundation level.</t>
  </si>
  <si>
    <t>Super structure concrete works.</t>
  </si>
  <si>
    <t>Construction of 15cm thick RCC lintel beams above the doors and windows for all walls both internal and external walls. The dimension should be ( 15cmx15cm) with ration of (1:2:4) with 4Y12 dia @20cm c/c. the staffs should be 6mm dia. Curing should be 3 days ( twice each day).</t>
  </si>
  <si>
    <t xml:space="preserve">Ramps and Stair Steps </t>
  </si>
  <si>
    <t>Construct of Gentle slope ramps. Dimension to be approved on site  Apply an 8cm concrete screed to the upper section of the ramp.</t>
  </si>
  <si>
    <t>LS</t>
  </si>
  <si>
    <t>Install stainless steel (Grade 304) handrails along the sides 
of the ramp. The height of the handrails to be approved on site.</t>
  </si>
  <si>
    <t>Construct stair steps adjacent to the entry of latrines. Stair tread should be 30cm and stair riser should be 15cm.</t>
  </si>
  <si>
    <t>ROOF WORKS</t>
  </si>
  <si>
    <t xml:space="preserve">20 cm Fascia board around the four sides of the building. </t>
  </si>
  <si>
    <t>WALL FINISHES</t>
  </si>
  <si>
    <t>External &amp; internal plastering ,12 mm thick, cement / sand mix 1:3, with wood float finish.</t>
  </si>
  <si>
    <t>Apply two coats white wash and distemper paint the plastered wall surface.</t>
  </si>
  <si>
    <t>Apply two coats of distempering on all wall  faces both exterior and interior of wall surfaces. Type of painting to be approved by SCI Engineer.</t>
  </si>
  <si>
    <t>DOORS AND VENTILATIONS</t>
  </si>
  <si>
    <t>Metal doors</t>
  </si>
  <si>
    <t>Supply and fix double leafed metal doors (90x220)cm, complete with frame, hinges &amp; locks. The disabled latrine should be 1.2m wide.</t>
  </si>
  <si>
    <t>NO</t>
  </si>
  <si>
    <t>Vent Blocks</t>
  </si>
  <si>
    <t>Supply and fix pre-fabricated ventilation Blocks (400mm x 400mm) complete with wooden frame and fly-trap screen.</t>
  </si>
  <si>
    <t>PLUMPING WORKS</t>
  </si>
  <si>
    <t>Fittings</t>
  </si>
  <si>
    <t>20mm dia stailess steel Grab rail in Disbled WC</t>
  </si>
  <si>
    <t xml:space="preserve">Close coupled WC Twyfords makeor equal approved with necessary drainage piping and manholes to latrine pit. </t>
  </si>
  <si>
    <t>Wall mounted Pegler tap or equal approved complete with necessary
piping and joints</t>
  </si>
  <si>
    <t xml:space="preserve">Allow for water connection and piping from the school storage tank, </t>
  </si>
  <si>
    <t>Lsm</t>
  </si>
  <si>
    <t xml:space="preserve">ELECTRICAL WORKS </t>
  </si>
  <si>
    <t xml:space="preserve">Allow for supply and installation of one lighting point and switch for each toilet. </t>
  </si>
  <si>
    <t>B</t>
  </si>
  <si>
    <t>m3</t>
  </si>
  <si>
    <t>m2</t>
  </si>
  <si>
    <t>No</t>
  </si>
  <si>
    <t>lsm</t>
  </si>
  <si>
    <t>C</t>
  </si>
  <si>
    <t>NEW CLASSROOMS (3)</t>
  </si>
  <si>
    <t>Note: the quantities specified below represent the total requirement for all 3 classrooms</t>
  </si>
  <si>
    <t>Top soil stripping and removal of any debris away from the site</t>
  </si>
  <si>
    <t xml:space="preserve">Excavation for linear foundation strip of 50cm wide and 60cm minimum depth. And including column footings of 80x80cm and 1.2m depth. </t>
  </si>
  <si>
    <t xml:space="preserve">5cm plain concrete blinding to the bottom of strip foundation and column footings </t>
  </si>
  <si>
    <t>Construction of 40cm bushstone foundation 50cm below ground level and 40cm above ground level</t>
  </si>
  <si>
    <t xml:space="preserve">Construction of 20x40cm RCC plinth beam with 4No Y14 main rebars and Y8 strips of 20cm spacing and including formwork and all necessary fixing procedures. Concrete mix proportion of 1:2:4, cement, sand and coarse aggregates. </t>
  </si>
  <si>
    <t>70x70x30cm RCC column footings with Y12 steel reinforcement of 15cm spacing including formwork and other associated works. Concrete mix proportion of 1:2:4, cement, sand and coarse aggregates.</t>
  </si>
  <si>
    <t>20x20cm RCC column starters with 4Y14 main rebars and Y8 links of 20cm spacing and including formwork and other associated works. Concrete mix proportion of 1:2:4, cement, sand and coarse aggregates.</t>
  </si>
  <si>
    <t xml:space="preserve">Foundation backfilling with hardcore in 20cm hand packed layers. </t>
  </si>
  <si>
    <t>5cm compacted murram blinding</t>
  </si>
  <si>
    <t xml:space="preserve">1000G DPM Polythene sheet laid over compacted murram surface to receive concrete. </t>
  </si>
  <si>
    <t xml:space="preserve">8cm reinforced concrete ground floor slab with 6mm mild steel rebars at 20cm centers and including formwork.  Concrete surface to be strictly finished with concrete helicopter to SCI engineers approval. No further finishing shall be done on top of the concrete. </t>
  </si>
  <si>
    <t xml:space="preserve">construction of 20cm concrete hollow blocks with 12G hoop iron at alternate joints. </t>
  </si>
  <si>
    <t>20x15cm RCC beam below windows with Y12 main rebars and R6 links of 20cm spacing and including formwork and other associated works. Concrete mix proportion of 1:2:4, cement, sand and coarse aggregates.</t>
  </si>
  <si>
    <t>20x20cm RCC lintel beam with Y12 main rebars and R6 links of 20cm spacing and including formwork and other associated works. Concrete mix proportion of 1:2:4, cement, sand and coarse aggregates.</t>
  </si>
  <si>
    <t>20x30cm RCC ring beam with Y14 main rebars and R8 links of 20cm spacing and including formwork and other associated works. Concrete mix proportion of 1:2:4, cement, sand and coarse aggregates.</t>
  </si>
  <si>
    <t>construction of RRC columns  for classrooms and verandah with dimension of 20cmx20cm and height not exceeded 3.8m and # of columns is 15 columns. Using 4Y12 and R6 at 20cm c/c, this includes formwork and all the support concrete needs. Columns will start from 60cm below the Ground level up to roof beam. see the drawing for further instructions.</t>
  </si>
  <si>
    <t xml:space="preserve">Supply materials and install 26/30 gauge aluminium roofing sheets nailed with steel roofing nails including rubber washers. Cost to include timber structure frames made of 15x4cm for bottom cord, rafters and king post and 7x4cm struts and 8x8cm purlins all painted. </t>
  </si>
  <si>
    <t xml:space="preserve">Supply materials and install 5mm ceiling boards nailed on 4x4cm timber brandering at 60cm spacing and including cornice. </t>
  </si>
  <si>
    <t>Allow provisional sum for electricity installations including ducting, wiring and lights, sockets, ceiling fans and distribution board to SCI engineer's approval.</t>
  </si>
  <si>
    <t>20mm cement and sand plaster with mix ratio of 1:4 on internal wall surfaces</t>
  </si>
  <si>
    <t>20mm cement and sand plaster with mix ratio of 1:4 on external wall surfaces</t>
  </si>
  <si>
    <t xml:space="preserve">Apply white wash and 2 finishing coats of exterior paint on plastered external walls </t>
  </si>
  <si>
    <t xml:space="preserve">Steel doors made of 1.5mm MS plate on 40x30x3mm steel box frame and 40x40x3mm angle lines as outer frame fixed with 6 dove tailed wall bars of similar size and industrial hinges. All painted with antirust primer and gloss paint. Door overall size 1.2x2.1m.  </t>
  </si>
  <si>
    <t xml:space="preserve">Supply and install steel windows made of 1.5mm MS plate on 25x25x3mm steel box frames and outer frame of 25x25x3mm steel angle lines fixed with 6 dove taled angle line walls bars of same size and heavy duty hinges. Including security gril made of 20x20x2mm steel boxes at 15cm spacing and heavy duty diomond mesh plate. Window overall size 1.2x1.2m all painted with anti-corrosion paint. </t>
  </si>
  <si>
    <t xml:space="preserve">Allow for construction of access ramps of 1.2m wide with stainless steel guardrails and built as per the design documents to the required slope of not exceeding 1 in 15. </t>
  </si>
  <si>
    <t>Supply and installation of 1.2x2.4m blackboard to SCI engineers approval</t>
  </si>
  <si>
    <t>no</t>
  </si>
  <si>
    <t>Subtotal for 3 new classrooms</t>
  </si>
  <si>
    <t>VISIBILITY</t>
  </si>
  <si>
    <t xml:space="preserve">Paint SCI, GPE and MOECHE logos on the newly constructed classrooms and other facilities.  Size should be (3m wide x3m long with details as to be provided by SCI communication department). </t>
  </si>
  <si>
    <t xml:space="preserve">Subtotal for visibility </t>
  </si>
  <si>
    <t>GRAND TOTAL  FOR WORKS</t>
  </si>
  <si>
    <t xml:space="preserve">Company: </t>
  </si>
  <si>
    <t>Representative:</t>
  </si>
  <si>
    <t>Signature:</t>
  </si>
  <si>
    <t>Stamp:</t>
  </si>
  <si>
    <t>Qodqod, Mataban, Hiran region- Hirshabele state of somalia-Lot-3</t>
  </si>
  <si>
    <t xml:space="preserve">Classroom rehabilitations (6) </t>
  </si>
  <si>
    <t>Note: the quantities specified below represent the total requirement for all 6 classrooms</t>
  </si>
  <si>
    <t xml:space="preserve">Carefully remove existing roofing sheets and ceiling from class rooms. Repair any damage on timber structure by nailing and repairing. . Supply materials and install 26 gauge aluminium roofing sheets or equal and approved corrosion resistant roofing sheets strictly approved by SCI engineer with the provision of manufacturer data sheets. Cost shall include repair and replacement of any broken purlin, rafter or other part of the timber structure as directed by SCI engineer. </t>
  </si>
  <si>
    <t xml:space="preserve">Supply materials and install 5mm prepainted stripped ceiling boards nailed on 40x40mm timber brandering at 600mm spacing. </t>
  </si>
  <si>
    <t xml:space="preserve">Hack out damaged floor screed and disposed off. Strip, level and compact the ground to received RCC concrete. Pour and vibrate 80mm reinforced concrete slab including 8mm steel reinforcement of 20x20cm spacing. Concrete shall be finished smoothly with concrete helicopter to SCI engineer approval. </t>
  </si>
  <si>
    <t xml:space="preserve">Apply 2 coats of emulsion paint on internal and external walls. Colour to be as approved by SCI/MoECHE engineers. </t>
  </si>
  <si>
    <t xml:space="preserve">Replace old steel windows with new type made of 1.5mm MS plate on 25x25x3mm steel box frames and outer frame of 25x25x3mm steel angle lines fixed with 6 dove taled angle line walls bars of same size and heavy duty hinges. Including security grill made of 20x20x2mm steel boxes at 15cm spacing and heavy duty diamond mesh plate. Window overall size 1.2x1.2m all painted with anti-corrosion paint. </t>
  </si>
  <si>
    <t xml:space="preserve">Replace old steel doors with new ones made of 1.5mm MS plate on 40x30x3mm steel box frame and 40x40x3mm angle lines as outer frame fixed with 6 dove tailed wall bars of similar size and industrial hinges. All painted with antirust primer and gloss paint. Door overall size 1.2x2.1m.  </t>
  </si>
  <si>
    <t>Electrical installation works in classrooms including wiring, ducting, lights, sockets and ceiling fans in classrooms</t>
  </si>
  <si>
    <t>Subtotal for 6 classrooms rehab</t>
  </si>
  <si>
    <t>WASH FACILITIES Rehabs - (4)</t>
  </si>
  <si>
    <t>Apply 2 coats of exterior paint on external walls of toilets</t>
  </si>
  <si>
    <t xml:space="preserve">Apply 2 coats of emulsion paint and 2 coats of glossy paint on internal walls.  </t>
  </si>
  <si>
    <t>Scrap existing floor, prepare surface and install 300x300x8cm non-slip ceramic tiles on toilet floors</t>
  </si>
  <si>
    <t xml:space="preserve">Supply and install 300x300x8cm ceramic wall tiles on cement backing up to 1.5m from floor level. </t>
  </si>
  <si>
    <t xml:space="preserve">Supply and install squating type WCs and improvement of soil water discharge pipes </t>
  </si>
  <si>
    <t xml:space="preserve">Allow for plubming and drainage pipes improvement including side water taps.   </t>
  </si>
  <si>
    <t>Supply and installation of 0.9x2.1m heavy duty steel doors of approved quality by SCI engineers</t>
  </si>
  <si>
    <t>Rehabilitation of handwashing area with repairs, tiling, water taps and drainage piping.</t>
  </si>
  <si>
    <t xml:space="preserve">Remove existing roof cover and supply and install 26 gauge aluminium roofing sheets. </t>
  </si>
  <si>
    <t xml:space="preserve">Supply piping materials and accessories and install water distribution pipes to toilets and handwashing areas of the school </t>
  </si>
  <si>
    <t>lms</t>
  </si>
  <si>
    <t>Subtotal for 4 Wash facilities rehab</t>
  </si>
  <si>
    <t>G</t>
  </si>
  <si>
    <t>Gerijir, Mataban, Hiran region- Hirshabele state of somalia-Lot-3</t>
  </si>
  <si>
    <t>NEW CLASSROOMS (8)</t>
  </si>
  <si>
    <t>Note: the quantities specified below represent the total requirement for all 8 classrooms</t>
  </si>
  <si>
    <t>20x20cm RCC column starters with 4Y12 main rebars and Y6 links of 20cm spacing and including formwork and other associated works. Concrete mix proportion of 1:2:4, cement, sand and coarse aggregates.</t>
  </si>
  <si>
    <t>20x20cm RCC columns with 4Y12 main rebars and Y6 links of 20cm spacing and including formwork and other associated works. Concrete mix proportion of 1:2:4, cement, sand and coarse aggregates.</t>
  </si>
  <si>
    <t>Supply materials and install 26 gauge aluminium roofing sheets nailed with steel roofing nails including rubber washers. Cost to include timber structure frames made of 15x4cm for bottom cord, rafters and king post and 7x4cm struts and 8x8cm purlins all painted. cost to include 15x2cm fascia board.</t>
  </si>
  <si>
    <t xml:space="preserve">1.2x2.1m imported steel door including its frame and locking mechanism to SCI engineer's approval. </t>
  </si>
  <si>
    <t xml:space="preserve">Supply and installation of 1.2x2.4m blackboard to SCI engineers approval. </t>
  </si>
  <si>
    <t>Subtotal for 8 new classrooms</t>
  </si>
  <si>
    <t>Work:</t>
  </si>
  <si>
    <t>Description of Item</t>
  </si>
  <si>
    <t>GRAND TOTAL WORKS - USD</t>
  </si>
  <si>
    <t>Name:</t>
  </si>
  <si>
    <t>Signature</t>
  </si>
  <si>
    <t>Company</t>
  </si>
  <si>
    <t xml:space="preserve">Date: </t>
  </si>
  <si>
    <t xml:space="preserve">LOT 3: Grand Summary </t>
  </si>
  <si>
    <t>Construction and Rehab works in Qodqod, Gerijir and Alfurqan primary schools</t>
  </si>
  <si>
    <t>Mataban District, Hiran region, Hirshabelle state of Somalia</t>
  </si>
  <si>
    <t>Qodqod Primary School</t>
  </si>
  <si>
    <t>Gerijir Primary School</t>
  </si>
  <si>
    <t>Alfurqan Primary School</t>
  </si>
  <si>
    <t xml:space="preserve">NEW TOILETS (one twin blocks) </t>
  </si>
  <si>
    <t>12cm R.C (1:2:4 mix) in No.1. Pit slab with re-bars 4N0. Y12 &amp; R6 links @ 150 mm c/c. (0.40m x 0.15m). Concrete should be vibrated using by hand vibrated machine to remove air pockets/spaces. Curing should be 4 days ( twice each day). This includes two two ventilited pipe from the pit latrine.</t>
  </si>
  <si>
    <t>Roofing with #28/26 guage pre-painted corrugated sheets and timber roof trussess c/c 2m. All roof trusses anchoredwith 6mm dia bars cated in the roof lintel and all joints of roof trusses and purloins to be tied together with a flat metal strip. Dimension: tie beam 2"x6", rafter 2"x4", purloins 2"x3", king post 2"x6" and all timber should be single pieces with no joints created by smaller peices fastered together.</t>
  </si>
  <si>
    <t xml:space="preserve">East type WC Pan (squating type WCs ) Twyfords or equal approved and completed with necessary drainage piping work and manholes to the latrine pit. </t>
  </si>
  <si>
    <t>Hand wahing sink complete with necessary piping and joints. This should be child friendly use. Note imported on not recommended, instead use the stand block wall with good fittings.</t>
  </si>
  <si>
    <t>Subtotalfor one twin latrine</t>
  </si>
  <si>
    <t>Subtotal for two twin latrine</t>
  </si>
  <si>
    <t xml:space="preserve">One Ground Water Tank </t>
  </si>
  <si>
    <t>TANK BASE</t>
  </si>
  <si>
    <t>Construct a rubble stone flat platform base for a water tank measuring 1.8m in width and 2.5m in length. The platform will be raised 1m above ground level and extend 0.3m below ground level. All stone joints will be filled with a 1:4 mortar mix for added stability.</t>
  </si>
  <si>
    <t>Plaster the surfaces of the platform using cement and sand mortar ratio of 1:3 for a smooth finish.</t>
  </si>
  <si>
    <t>Apply one undercoat and two finishing coats of emulsion paint on the plastered surface.</t>
  </si>
  <si>
    <t>WATER TANK &amp; PLUMBING</t>
  </si>
  <si>
    <t>Supply, deliver, and install horizontal plastic-molded water tank with a capacity of 3000 liters. The tank will come complete with covers and screwed connections for inlet, outlet, overflow, and other necessary items for proper functioning, including fittings and valves. Mount the tanks on the raised flat platform.</t>
  </si>
  <si>
    <t>Supply and install all necessary pipes and fittings from the water point to the tank. Ensure a proper and functional water flow system is established to connect the water source to the tank for efficient water storage and distribution.</t>
  </si>
  <si>
    <t>Excavate water collection pit near the water tank for collecting disposed water from the water point area. Fill it with rubbor stones in the pit. Lay crushed stone and plain concrete on the waterway leading to the pit. Ensure a proper and functional water disposal system.</t>
  </si>
  <si>
    <t>RAINWATER GUTTER</t>
  </si>
  <si>
    <t>Install rainwater gutters around the new classrooms roof and connect it to the downspouts to water storage tank. To SCI engineer approval</t>
  </si>
  <si>
    <t>M</t>
  </si>
  <si>
    <t>D</t>
  </si>
  <si>
    <t xml:space="preserve">MAIN SUMMARY </t>
  </si>
  <si>
    <t>Classroom Rehabs in Gerijir primary school,</t>
  </si>
  <si>
    <t>New classrooms in Al-Furqan primary school,</t>
  </si>
  <si>
    <t>Mataban town, Hiran region- Hirshabele state of somalia-Lot-3</t>
  </si>
  <si>
    <t xml:space="preserve">Apply 2 coats of white washing and  emulsion paint and one Glossy paint up to 2 meter on internal wall surfaces.   Colour to be as approved by SCI/MoECHE engineers. </t>
  </si>
  <si>
    <t xml:space="preserve">Apply one coat of white wash and  2 coats of emulsion paint and one Glossy paint up to 2 meter on internal wall surfaces. Colour to be as approved by SCI/MoECHE engineers.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</si>
</sst>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0.000"/>
    <numFmt numFmtId="165" formatCode="_-* #,##0.00_-;\-* #,##0.00_-;_-* &quot;-&quot;??_-;_-@_-"/>
    <numFmt numFmtId="166" formatCode="_(* #,##0.0_);_(* \(#,##0.0\);_(* &quot;-&quot;??_);_(@_)"/>
  </numFmts>
  <fonts count="47"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Calibri"/>
      <family val="2"/>
      <scheme val="minor"/>
    </font>
    <font>
      <b/>
      <sz val="11"/>
      <name val="Calibri"/>
      <family val="2"/>
      <scheme val="minor"/>
    </font>
    <font>
      <sz val="11"/>
      <name val="Calibri"/>
      <family val="2"/>
      <scheme val="minor"/>
    </font>
    <font>
      <b/>
      <u/>
      <sz val="10"/>
      <name val="Calibri"/>
      <family val="2"/>
      <scheme val="minor"/>
    </font>
    <font>
      <u/>
      <sz val="10"/>
      <color rgb="FFFF0000"/>
      <name val="Calibri"/>
      <family val="2"/>
      <scheme val="minor"/>
    </font>
    <font>
      <sz val="9"/>
      <name val="Calibri"/>
      <family val="2"/>
      <scheme val="minor"/>
    </font>
    <font>
      <u/>
      <sz val="11"/>
      <color rgb="FFFF0000"/>
      <name val="Calibri"/>
      <family val="2"/>
      <scheme val="minor"/>
    </font>
    <font>
      <b/>
      <sz val="11"/>
      <name val="Times New Roman"/>
      <family val="1"/>
    </font>
    <font>
      <sz val="11"/>
      <name val="Times New Roman"/>
      <family val="1"/>
    </font>
    <font>
      <sz val="10"/>
      <name val="Times New Roman"/>
      <family val="1"/>
    </font>
    <font>
      <sz val="11"/>
      <color theme="1"/>
      <name val="Times New Roman"/>
      <family val="1"/>
    </font>
    <font>
      <sz val="10"/>
      <name val="Arial"/>
      <family val="2"/>
    </font>
    <font>
      <sz val="9"/>
      <name val="Arial"/>
      <family val="2"/>
    </font>
    <font>
      <b/>
      <sz val="10"/>
      <name val="Arial"/>
      <family val="2"/>
    </font>
    <font>
      <sz val="12"/>
      <color theme="1"/>
      <name val="Calibri"/>
      <family val="2"/>
      <scheme val="minor"/>
    </font>
    <font>
      <b/>
      <u/>
      <sz val="11"/>
      <name val="Calibri"/>
      <family val="2"/>
      <scheme val="minor"/>
    </font>
    <font>
      <b/>
      <sz val="8"/>
      <name val="Arial"/>
      <family val="2"/>
    </font>
    <font>
      <b/>
      <sz val="12"/>
      <name val="Calibri Light"/>
      <family val="2"/>
      <scheme val="major"/>
    </font>
    <font>
      <b/>
      <sz val="12"/>
      <name val="Arial"/>
      <family val="2"/>
    </font>
    <font>
      <b/>
      <sz val="12"/>
      <color theme="1"/>
      <name val="Gill Sans MT"/>
      <family val="2"/>
    </font>
    <font>
      <b/>
      <sz val="11"/>
      <color theme="1"/>
      <name val="Gill Sans MT"/>
      <family val="2"/>
    </font>
    <font>
      <sz val="12"/>
      <name val="Calibri"/>
      <family val="2"/>
    </font>
    <font>
      <sz val="12"/>
      <name val="Calibri"/>
      <family val="2"/>
      <scheme val="minor"/>
    </font>
    <font>
      <b/>
      <sz val="12"/>
      <name val="Calibri"/>
      <family val="2"/>
      <scheme val="minor"/>
    </font>
    <font>
      <b/>
      <u/>
      <sz val="11"/>
      <name val="Times New Roman"/>
      <family val="1"/>
    </font>
    <font>
      <b/>
      <sz val="16"/>
      <color rgb="FF000000"/>
      <name val="Gill Sans MT"/>
      <family val="2"/>
    </font>
    <font>
      <b/>
      <sz val="12"/>
      <color rgb="FF000000"/>
      <name val="Gill Sans MT"/>
      <family val="2"/>
    </font>
    <font>
      <b/>
      <sz val="14"/>
      <color rgb="FF000000"/>
      <name val="Gill Sans MT"/>
      <family val="2"/>
    </font>
    <font>
      <b/>
      <sz val="11"/>
      <color rgb="FF000000"/>
      <name val="Gill Sans MT"/>
      <family val="2"/>
    </font>
    <font>
      <sz val="12"/>
      <color rgb="FF000000"/>
      <name val="Gill Sans MT"/>
      <family val="2"/>
    </font>
    <font>
      <sz val="14"/>
      <color rgb="FF000000"/>
      <name val="Gill Sans MT"/>
      <family val="2"/>
    </font>
    <font>
      <sz val="11"/>
      <color rgb="FF000000"/>
      <name val="Calibri"/>
      <family val="2"/>
      <scheme val="minor"/>
    </font>
    <font>
      <b/>
      <sz val="11"/>
      <color rgb="FF000000"/>
      <name val="Calibri"/>
      <family val="2"/>
      <scheme val="minor"/>
    </font>
    <font>
      <b/>
      <sz val="12"/>
      <color theme="1"/>
      <name val="Times New Roman"/>
      <family val="1"/>
    </font>
    <font>
      <sz val="10"/>
      <color rgb="FF000000"/>
      <name val="Times New Roman"/>
      <family val="1"/>
    </font>
    <font>
      <b/>
      <sz val="12"/>
      <name val="Times New Roman"/>
      <family val="1"/>
    </font>
    <font>
      <sz val="12"/>
      <color theme="1"/>
      <name val="Times New Roman"/>
      <family val="1"/>
    </font>
    <font>
      <b/>
      <sz val="11"/>
      <color theme="1"/>
      <name val="Arial Narrow"/>
      <family val="2"/>
    </font>
    <font>
      <b/>
      <i/>
      <sz val="11"/>
      <color theme="1"/>
      <name val="Calibri"/>
      <family val="2"/>
      <scheme val="minor"/>
    </font>
    <font>
      <sz val="11"/>
      <color theme="1"/>
      <name val="Arial Narrow"/>
      <family val="2"/>
    </font>
    <font>
      <b/>
      <sz val="11"/>
      <color theme="1"/>
      <name val="Times New Roman"/>
      <family val="1"/>
    </font>
    <font>
      <b/>
      <sz val="12"/>
      <color theme="1"/>
      <name val="Calibri Light"/>
      <family val="2"/>
      <scheme val="major"/>
    </font>
    <font>
      <b/>
      <sz val="12"/>
      <color theme="1"/>
      <name val="Arial Narrow"/>
      <family val="2"/>
    </font>
    <font>
      <b/>
      <sz val="11"/>
      <name val="Arial"/>
      <family val="2"/>
    </font>
  </fonts>
  <fills count="14">
    <fill>
      <patternFill patternType="none"/>
    </fill>
    <fill>
      <patternFill patternType="gray125"/>
    </fill>
    <fill>
      <patternFill patternType="solid">
        <fgColor theme="5" tint="0.59999389629810485"/>
        <bgColor indexed="64"/>
      </patternFill>
    </fill>
    <fill>
      <patternFill patternType="solid">
        <fgColor theme="9" tint="0.79998168889431442"/>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2" tint="-9.9978637043366805E-2"/>
        <bgColor indexed="64"/>
      </patternFill>
    </fill>
    <fill>
      <patternFill patternType="solid">
        <fgColor theme="7" tint="0.79998168889431442"/>
        <bgColor indexed="64"/>
      </patternFill>
    </fill>
    <fill>
      <patternFill patternType="solid">
        <fgColor rgb="FFF8CBAD"/>
        <bgColor rgb="FF000000"/>
      </patternFill>
    </fill>
    <fill>
      <patternFill patternType="solid">
        <fgColor rgb="FFE2EFDA"/>
        <bgColor rgb="FF000000"/>
      </patternFill>
    </fill>
    <fill>
      <patternFill patternType="solid">
        <fgColor rgb="FFD9E1F2"/>
        <bgColor rgb="FF000000"/>
      </patternFill>
    </fill>
    <fill>
      <patternFill patternType="solid">
        <fgColor rgb="FFFFC000"/>
        <bgColor indexed="64"/>
      </patternFill>
    </fill>
  </fills>
  <borders count="45">
    <border>
      <left/>
      <right/>
      <top/>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thick">
        <color auto="1"/>
      </left>
      <right style="thin">
        <color auto="1"/>
      </right>
      <top style="thick">
        <color auto="1"/>
      </top>
      <bottom/>
      <diagonal/>
    </border>
    <border>
      <left style="thin">
        <color auto="1"/>
      </left>
      <right style="thin">
        <color auto="1"/>
      </right>
      <top style="thick">
        <color auto="1"/>
      </top>
      <bottom/>
      <diagonal/>
    </border>
    <border>
      <left style="thin">
        <color auto="1"/>
      </left>
      <right style="thick">
        <color auto="1"/>
      </right>
      <top style="thick">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medium">
        <color indexed="64"/>
      </left>
      <right style="thin">
        <color indexed="64"/>
      </right>
      <top/>
      <bottom style="medium">
        <color indexed="64"/>
      </bottom>
      <diagonal/>
    </border>
    <border>
      <left style="thin">
        <color indexed="64"/>
      </left>
      <right/>
      <top style="thin">
        <color auto="1"/>
      </top>
      <bottom style="medium">
        <color indexed="64"/>
      </bottom>
      <diagonal/>
    </border>
    <border>
      <left/>
      <right/>
      <top style="thin">
        <color auto="1"/>
      </top>
      <bottom style="medium">
        <color indexed="64"/>
      </bottom>
      <diagonal/>
    </border>
    <border>
      <left/>
      <right style="thin">
        <color indexed="64"/>
      </right>
      <top style="thin">
        <color auto="1"/>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auto="1"/>
      </right>
      <top/>
      <bottom/>
      <diagonal/>
    </border>
    <border>
      <left style="thin">
        <color auto="1"/>
      </left>
      <right style="thin">
        <color auto="1"/>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style="medium">
        <color indexed="64"/>
      </right>
      <top/>
      <bottom style="thick">
        <color indexed="64"/>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style="medium">
        <color indexed="64"/>
      </top>
      <bottom style="medium">
        <color indexed="64"/>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style="hair">
        <color rgb="FF000000"/>
      </top>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s>
  <cellStyleXfs count="5">
    <xf numFmtId="0" fontId="0" fillId="0" borderId="0"/>
    <xf numFmtId="43" fontId="1" fillId="0" borderId="0" applyFont="0" applyFill="0" applyBorder="0" applyAlignment="0" applyProtection="0"/>
    <xf numFmtId="165" fontId="1" fillId="0" borderId="0" applyFont="0" applyFill="0" applyBorder="0" applyAlignment="0" applyProtection="0"/>
    <xf numFmtId="44" fontId="1" fillId="0" borderId="0" applyFont="0" applyFill="0" applyBorder="0" applyAlignment="0" applyProtection="0"/>
    <xf numFmtId="0" fontId="37" fillId="0" borderId="0"/>
  </cellStyleXfs>
  <cellXfs count="259">
    <xf numFmtId="0" fontId="0" fillId="0" borderId="0" xfId="0"/>
    <xf numFmtId="0" fontId="3" fillId="2" borderId="1" xfId="0" applyFont="1" applyFill="1" applyBorder="1" applyAlignment="1">
      <alignment horizontal="left"/>
    </xf>
    <xf numFmtId="0" fontId="3" fillId="2" borderId="5" xfId="0" applyFont="1" applyFill="1" applyBorder="1"/>
    <xf numFmtId="0" fontId="2" fillId="3" borderId="6" xfId="0" applyFont="1" applyFill="1" applyBorder="1" applyAlignment="1">
      <alignment horizontal="center" vertical="center" wrapText="1"/>
    </xf>
    <xf numFmtId="0" fontId="2" fillId="3" borderId="7" xfId="0" applyFont="1" applyFill="1" applyBorder="1" applyAlignment="1">
      <alignment vertical="center" wrapText="1"/>
    </xf>
    <xf numFmtId="0" fontId="2" fillId="3" borderId="7" xfId="0" applyFont="1" applyFill="1" applyBorder="1" applyAlignment="1">
      <alignment horizontal="center" vertical="center" wrapText="1"/>
    </xf>
    <xf numFmtId="0" fontId="2" fillId="3" borderId="8" xfId="0" applyFont="1" applyFill="1" applyBorder="1" applyAlignment="1">
      <alignment vertical="center" wrapText="1"/>
    </xf>
    <xf numFmtId="0" fontId="2" fillId="4" borderId="9" xfId="0" applyFont="1" applyFill="1" applyBorder="1" applyAlignment="1">
      <alignment horizontal="center" vertical="center"/>
    </xf>
    <xf numFmtId="0" fontId="4" fillId="4" borderId="9" xfId="0" applyFont="1" applyFill="1" applyBorder="1" applyAlignment="1">
      <alignment horizontal="left" vertical="center" wrapText="1"/>
    </xf>
    <xf numFmtId="0" fontId="4" fillId="4" borderId="9" xfId="0" applyFont="1" applyFill="1" applyBorder="1" applyAlignment="1">
      <alignment horizontal="center" vertical="center" wrapText="1"/>
    </xf>
    <xf numFmtId="2" fontId="5" fillId="4" borderId="9" xfId="0" applyNumberFormat="1" applyFont="1" applyFill="1" applyBorder="1" applyAlignment="1">
      <alignment horizontal="center" vertical="center" wrapText="1"/>
    </xf>
    <xf numFmtId="2" fontId="4" fillId="4" borderId="9" xfId="1" applyNumberFormat="1" applyFont="1" applyFill="1" applyBorder="1" applyAlignment="1">
      <alignment horizontal="center" vertical="center"/>
    </xf>
    <xf numFmtId="0" fontId="4" fillId="0" borderId="9" xfId="0" applyFont="1" applyBorder="1" applyAlignment="1">
      <alignment horizontal="center" vertical="center"/>
    </xf>
    <xf numFmtId="49" fontId="6" fillId="0" borderId="9" xfId="0" applyNumberFormat="1" applyFont="1" applyBorder="1" applyAlignment="1">
      <alignment horizontal="justify" vertical="top" wrapText="1"/>
    </xf>
    <xf numFmtId="0" fontId="5" fillId="0" borderId="9" xfId="0" applyFont="1" applyBorder="1" applyAlignment="1">
      <alignment horizontal="center" vertical="center"/>
    </xf>
    <xf numFmtId="2" fontId="5" fillId="0" borderId="9" xfId="0" applyNumberFormat="1" applyFont="1" applyBorder="1" applyAlignment="1">
      <alignment horizontal="center" vertical="center"/>
    </xf>
    <xf numFmtId="2" fontId="5" fillId="0" borderId="9" xfId="1" applyNumberFormat="1" applyFont="1" applyBorder="1" applyAlignment="1">
      <alignment horizontal="center" vertical="center"/>
    </xf>
    <xf numFmtId="0" fontId="7" fillId="0" borderId="9" xfId="0" applyFont="1" applyBorder="1" applyAlignment="1">
      <alignment vertical="center" wrapText="1"/>
    </xf>
    <xf numFmtId="0" fontId="5" fillId="0" borderId="9" xfId="0" applyFont="1" applyBorder="1" applyAlignment="1">
      <alignment horizontal="left" vertical="center" wrapText="1"/>
    </xf>
    <xf numFmtId="0" fontId="0" fillId="0" borderId="9" xfId="0" applyFont="1" applyBorder="1" applyAlignment="1">
      <alignment horizontal="center" vertical="center" wrapText="1"/>
    </xf>
    <xf numFmtId="0" fontId="5" fillId="0" borderId="9" xfId="0" applyFont="1" applyBorder="1" applyAlignment="1">
      <alignment vertical="center" wrapText="1"/>
    </xf>
    <xf numFmtId="2" fontId="8" fillId="0" borderId="9" xfId="0" applyNumberFormat="1" applyFont="1" applyBorder="1" applyAlignment="1">
      <alignment horizontal="center" vertical="center"/>
    </xf>
    <xf numFmtId="2" fontId="5" fillId="0" borderId="9" xfId="0" applyNumberFormat="1" applyFont="1" applyBorder="1" applyAlignment="1">
      <alignment horizontal="center" vertical="center" wrapText="1"/>
    </xf>
    <xf numFmtId="2" fontId="0" fillId="0" borderId="9" xfId="0" applyNumberFormat="1" applyFont="1" applyBorder="1" applyAlignment="1">
      <alignment horizontal="center" vertical="center"/>
    </xf>
    <xf numFmtId="0" fontId="4" fillId="0" borderId="9" xfId="0" applyFont="1" applyBorder="1" applyAlignment="1">
      <alignment vertical="center" wrapText="1"/>
    </xf>
    <xf numFmtId="164" fontId="0" fillId="0" borderId="9" xfId="0" applyNumberFormat="1" applyFont="1" applyBorder="1" applyAlignment="1">
      <alignment horizontal="center" vertical="center"/>
    </xf>
    <xf numFmtId="0" fontId="9" fillId="0" borderId="9" xfId="0" applyFont="1" applyBorder="1" applyAlignment="1">
      <alignment vertical="center" wrapText="1"/>
    </xf>
    <xf numFmtId="4" fontId="0" fillId="0" borderId="9" xfId="0" applyNumberFormat="1" applyFont="1" applyBorder="1" applyAlignment="1">
      <alignment horizontal="center" vertical="center"/>
    </xf>
    <xf numFmtId="0" fontId="0" fillId="0" borderId="9" xfId="0" applyFont="1" applyBorder="1" applyAlignment="1">
      <alignment vertical="center" wrapText="1"/>
    </xf>
    <xf numFmtId="0" fontId="10" fillId="0" borderId="9" xfId="0" applyFont="1" applyBorder="1" applyAlignment="1">
      <alignment horizontal="center" vertical="center"/>
    </xf>
    <xf numFmtId="0" fontId="4" fillId="0" borderId="9" xfId="0" applyFont="1" applyBorder="1" applyAlignment="1">
      <alignment vertical="center"/>
    </xf>
    <xf numFmtId="0" fontId="6" fillId="0" borderId="9" xfId="0" applyFont="1" applyBorder="1" applyAlignment="1">
      <alignment vertical="center" wrapText="1"/>
    </xf>
    <xf numFmtId="0" fontId="11" fillId="0" borderId="9" xfId="0" applyFont="1" applyBorder="1" applyAlignment="1">
      <alignment horizontal="center" vertical="center"/>
    </xf>
    <xf numFmtId="0" fontId="9" fillId="0" borderId="9" xfId="0" applyFont="1" applyBorder="1"/>
    <xf numFmtId="0" fontId="0" fillId="0" borderId="9" xfId="0" applyFont="1" applyBorder="1"/>
    <xf numFmtId="0" fontId="12" fillId="0" borderId="9" xfId="0" applyFont="1" applyBorder="1" applyAlignment="1">
      <alignment horizontal="center" vertical="center"/>
    </xf>
    <xf numFmtId="0" fontId="13" fillId="0" borderId="9" xfId="0" applyFont="1" applyBorder="1" applyAlignment="1">
      <alignment horizontal="center" vertical="center"/>
    </xf>
    <xf numFmtId="0" fontId="0" fillId="0" borderId="9" xfId="0" applyFont="1" applyBorder="1" applyAlignment="1">
      <alignment wrapText="1"/>
    </xf>
    <xf numFmtId="0" fontId="13" fillId="0" borderId="9" xfId="0" applyFont="1" applyBorder="1"/>
    <xf numFmtId="0" fontId="0" fillId="0" borderId="9" xfId="0" applyBorder="1"/>
    <xf numFmtId="49" fontId="5" fillId="0" borderId="9" xfId="0" applyNumberFormat="1" applyFont="1" applyBorder="1" applyAlignment="1">
      <alignment horizontal="justify" vertical="top" wrapText="1"/>
    </xf>
    <xf numFmtId="0" fontId="10" fillId="5" borderId="9" xfId="0" applyFont="1" applyFill="1" applyBorder="1" applyAlignment="1">
      <alignment vertical="center"/>
    </xf>
    <xf numFmtId="2" fontId="2" fillId="5" borderId="9" xfId="1" applyNumberFormat="1" applyFont="1" applyFill="1" applyBorder="1" applyAlignment="1">
      <alignment horizontal="center" vertical="center"/>
    </xf>
    <xf numFmtId="0" fontId="10" fillId="6" borderId="9" xfId="0" applyFont="1" applyFill="1" applyBorder="1" applyAlignment="1">
      <alignment vertical="center"/>
    </xf>
    <xf numFmtId="0" fontId="4" fillId="6" borderId="9" xfId="0" applyFont="1" applyFill="1" applyBorder="1" applyAlignment="1">
      <alignment horizontal="center" vertical="center"/>
    </xf>
    <xf numFmtId="2" fontId="2" fillId="6" borderId="9" xfId="1" applyNumberFormat="1" applyFont="1" applyFill="1" applyBorder="1" applyAlignment="1">
      <alignment horizontal="center" vertical="center"/>
    </xf>
    <xf numFmtId="0" fontId="2" fillId="4" borderId="9" xfId="0" applyFont="1" applyFill="1" applyBorder="1" applyAlignment="1">
      <alignment vertical="center" wrapText="1"/>
    </xf>
    <xf numFmtId="0" fontId="4" fillId="4" borderId="9" xfId="0" applyFont="1" applyFill="1" applyBorder="1" applyAlignment="1">
      <alignment horizontal="center" vertical="center"/>
    </xf>
    <xf numFmtId="2" fontId="5" fillId="4" borderId="9" xfId="0" applyNumberFormat="1" applyFont="1" applyFill="1" applyBorder="1" applyAlignment="1">
      <alignment horizontal="center" vertical="center"/>
    </xf>
    <xf numFmtId="0" fontId="14" fillId="0" borderId="9" xfId="0" applyFont="1" applyBorder="1" applyAlignment="1">
      <alignment horizontal="center" vertical="center"/>
    </xf>
    <xf numFmtId="0" fontId="15" fillId="0" borderId="9" xfId="0" applyFont="1" applyBorder="1" applyAlignment="1">
      <alignment horizontal="center" vertical="center"/>
    </xf>
    <xf numFmtId="2" fontId="15" fillId="0" borderId="9" xfId="0" applyNumberFormat="1" applyFont="1" applyBorder="1" applyAlignment="1">
      <alignment horizontal="center" vertical="center"/>
    </xf>
    <xf numFmtId="0" fontId="0" fillId="0" borderId="9" xfId="0" applyBorder="1" applyAlignment="1">
      <alignment horizontal="center" vertical="center"/>
    </xf>
    <xf numFmtId="0" fontId="5" fillId="6" borderId="9" xfId="0" applyFont="1" applyFill="1" applyBorder="1" applyAlignment="1">
      <alignment horizontal="center" vertical="center"/>
    </xf>
    <xf numFmtId="0" fontId="2" fillId="7" borderId="9" xfId="0" applyFont="1" applyFill="1" applyBorder="1" applyAlignment="1">
      <alignment horizontal="center" vertical="center"/>
    </xf>
    <xf numFmtId="43" fontId="4" fillId="7" borderId="9" xfId="1" applyFont="1" applyFill="1" applyBorder="1" applyAlignment="1">
      <alignment horizontal="center" vertical="center"/>
    </xf>
    <xf numFmtId="0" fontId="0" fillId="6" borderId="9" xfId="0" applyFill="1" applyBorder="1"/>
    <xf numFmtId="0" fontId="0" fillId="6" borderId="9" xfId="0" applyFont="1" applyFill="1" applyBorder="1"/>
    <xf numFmtId="2" fontId="0" fillId="0" borderId="9" xfId="0" applyNumberFormat="1" applyBorder="1" applyAlignment="1">
      <alignment horizontal="center" vertical="center"/>
    </xf>
    <xf numFmtId="0" fontId="5" fillId="0" borderId="9" xfId="0" applyFont="1" applyBorder="1" applyAlignment="1">
      <alignment horizontal="center" vertical="center" wrapText="1"/>
    </xf>
    <xf numFmtId="4" fontId="0" fillId="0" borderId="9" xfId="0" applyNumberFormat="1" applyBorder="1" applyAlignment="1">
      <alignment horizontal="center" vertical="center"/>
    </xf>
    <xf numFmtId="4" fontId="5" fillId="0" borderId="9" xfId="0" applyNumberFormat="1" applyFont="1" applyBorder="1" applyAlignment="1">
      <alignment horizontal="center" vertical="center"/>
    </xf>
    <xf numFmtId="2" fontId="13" fillId="0" borderId="0" xfId="0" applyNumberFormat="1" applyFont="1" applyBorder="1" applyAlignment="1">
      <alignment horizontal="center" vertical="center"/>
    </xf>
    <xf numFmtId="0" fontId="0" fillId="0" borderId="9" xfId="0" applyBorder="1" applyAlignment="1">
      <alignment horizontal="left" vertical="center" wrapText="1"/>
    </xf>
    <xf numFmtId="0" fontId="0" fillId="0" borderId="9" xfId="0" applyBorder="1" applyAlignment="1">
      <alignment horizontal="center" vertical="center" wrapText="1"/>
    </xf>
    <xf numFmtId="2" fontId="1" fillId="0" borderId="9" xfId="2" applyNumberFormat="1" applyFont="1" applyFill="1" applyBorder="1" applyAlignment="1">
      <alignment horizontal="center" vertical="center" wrapText="1"/>
    </xf>
    <xf numFmtId="0" fontId="0" fillId="6" borderId="9" xfId="0" applyFont="1" applyFill="1" applyBorder="1" applyAlignment="1">
      <alignment vertical="center" wrapText="1"/>
    </xf>
    <xf numFmtId="0" fontId="17" fillId="6" borderId="9" xfId="0" applyFont="1" applyFill="1" applyBorder="1" applyAlignment="1">
      <alignment horizontal="center" vertical="center"/>
    </xf>
    <xf numFmtId="0" fontId="0" fillId="6" borderId="9" xfId="0" applyFill="1" applyBorder="1" applyAlignment="1">
      <alignment vertical="center" wrapText="1"/>
    </xf>
    <xf numFmtId="0" fontId="0" fillId="6" borderId="10" xfId="0" applyFill="1" applyBorder="1" applyAlignment="1">
      <alignment vertical="center" wrapText="1"/>
    </xf>
    <xf numFmtId="0" fontId="17" fillId="6" borderId="9" xfId="0" applyFont="1" applyFill="1" applyBorder="1" applyAlignment="1">
      <alignment vertical="center"/>
    </xf>
    <xf numFmtId="2" fontId="17" fillId="6" borderId="9" xfId="0" applyNumberFormat="1" applyFont="1" applyFill="1" applyBorder="1" applyAlignment="1">
      <alignment horizontal="center" vertical="center"/>
    </xf>
    <xf numFmtId="0" fontId="0" fillId="0" borderId="0" xfId="0" applyFont="1"/>
    <xf numFmtId="43" fontId="4" fillId="4" borderId="9" xfId="1" applyFont="1" applyFill="1" applyBorder="1" applyAlignment="1">
      <alignment horizontal="center" vertical="center"/>
    </xf>
    <xf numFmtId="43" fontId="5" fillId="0" borderId="9" xfId="1" applyFont="1" applyBorder="1" applyAlignment="1">
      <alignment horizontal="center" vertical="center"/>
    </xf>
    <xf numFmtId="0" fontId="0" fillId="6" borderId="9" xfId="0" applyFill="1" applyBorder="1" applyAlignment="1">
      <alignment horizontal="center" vertical="center"/>
    </xf>
    <xf numFmtId="0" fontId="4" fillId="6" borderId="10" xfId="0" applyFont="1" applyFill="1" applyBorder="1" applyAlignment="1">
      <alignment horizontal="center" vertical="center" wrapText="1"/>
    </xf>
    <xf numFmtId="0" fontId="4" fillId="6" borderId="11" xfId="0" applyFont="1" applyFill="1" applyBorder="1" applyAlignment="1">
      <alignment horizontal="center" vertical="center" wrapText="1"/>
    </xf>
    <xf numFmtId="0" fontId="4" fillId="6" borderId="12" xfId="0" applyFont="1" applyFill="1" applyBorder="1" applyAlignment="1">
      <alignment horizontal="center" vertical="center" wrapText="1"/>
    </xf>
    <xf numFmtId="0" fontId="5" fillId="6" borderId="9" xfId="0" applyFont="1" applyFill="1" applyBorder="1" applyAlignment="1">
      <alignment horizontal="center" vertical="center" wrapText="1"/>
    </xf>
    <xf numFmtId="43" fontId="4" fillId="6" borderId="9" xfId="1" applyFont="1" applyFill="1" applyBorder="1" applyAlignment="1">
      <alignment horizontal="center" vertical="center"/>
    </xf>
    <xf numFmtId="0" fontId="18" fillId="4" borderId="9" xfId="0" applyFont="1" applyFill="1" applyBorder="1" applyAlignment="1">
      <alignment horizontal="left" vertical="center"/>
    </xf>
    <xf numFmtId="0" fontId="0" fillId="4" borderId="9" xfId="0" applyFont="1" applyFill="1" applyBorder="1"/>
    <xf numFmtId="0" fontId="0" fillId="4" borderId="9" xfId="0" applyFont="1" applyFill="1" applyBorder="1" applyAlignment="1">
      <alignment horizontal="center"/>
    </xf>
    <xf numFmtId="2" fontId="5" fillId="4" borderId="14" xfId="0" applyNumberFormat="1" applyFont="1" applyFill="1" applyBorder="1" applyAlignment="1">
      <alignment horizontal="center" vertical="center" wrapText="1"/>
    </xf>
    <xf numFmtId="0" fontId="0" fillId="0" borderId="0" xfId="0" applyFont="1" applyAlignment="1">
      <alignment vertical="center" wrapText="1"/>
    </xf>
    <xf numFmtId="0" fontId="0" fillId="0" borderId="15" xfId="0" applyFont="1" applyBorder="1" applyAlignment="1">
      <alignment horizontal="center" vertical="center"/>
    </xf>
    <xf numFmtId="2" fontId="0" fillId="0" borderId="15" xfId="0" applyNumberFormat="1" applyFont="1" applyBorder="1" applyAlignment="1">
      <alignment horizontal="center" vertical="center"/>
    </xf>
    <xf numFmtId="2" fontId="4" fillId="7" borderId="9" xfId="1" applyNumberFormat="1" applyFont="1" applyFill="1" applyBorder="1" applyAlignment="1">
      <alignment horizontal="center" vertical="center"/>
    </xf>
    <xf numFmtId="0" fontId="19" fillId="8" borderId="16" xfId="0" applyFont="1" applyFill="1" applyBorder="1" applyAlignment="1">
      <alignment horizontal="center" vertical="center"/>
    </xf>
    <xf numFmtId="43" fontId="21" fillId="8" borderId="20" xfId="0" applyNumberFormat="1" applyFont="1" applyFill="1" applyBorder="1"/>
    <xf numFmtId="0" fontId="0" fillId="9" borderId="0" xfId="0" applyFill="1" applyAlignment="1">
      <alignment horizontal="center"/>
    </xf>
    <xf numFmtId="0" fontId="0" fillId="9" borderId="0" xfId="0" applyFont="1" applyFill="1" applyAlignment="1">
      <alignment wrapText="1"/>
    </xf>
    <xf numFmtId="0" fontId="0" fillId="9" borderId="0" xfId="0" applyFont="1" applyFill="1" applyAlignment="1">
      <alignment horizontal="center" vertical="center"/>
    </xf>
    <xf numFmtId="0" fontId="0" fillId="9" borderId="0" xfId="0" applyFont="1" applyFill="1"/>
    <xf numFmtId="0" fontId="2" fillId="9" borderId="0" xfId="0" applyFont="1" applyFill="1" applyAlignment="1">
      <alignment horizontal="center"/>
    </xf>
    <xf numFmtId="0" fontId="0" fillId="9" borderId="0" xfId="0" applyFont="1" applyFill="1" applyAlignment="1">
      <alignment horizontal="right" vertical="center" wrapText="1"/>
    </xf>
    <xf numFmtId="0" fontId="0" fillId="0" borderId="9" xfId="0" applyFont="1" applyBorder="1" applyAlignment="1">
      <alignment horizontal="center" vertical="center"/>
    </xf>
    <xf numFmtId="0" fontId="22" fillId="2" borderId="1" xfId="0" applyFont="1" applyFill="1" applyBorder="1" applyAlignment="1">
      <alignment horizontal="left"/>
    </xf>
    <xf numFmtId="0" fontId="22" fillId="2" borderId="5" xfId="0" applyFont="1" applyFill="1" applyBorder="1"/>
    <xf numFmtId="0" fontId="23" fillId="3" borderId="6" xfId="0" applyFont="1" applyFill="1" applyBorder="1" applyAlignment="1">
      <alignment horizontal="center" vertical="center" wrapText="1"/>
    </xf>
    <xf numFmtId="0" fontId="23" fillId="3" borderId="7" xfId="0" applyFont="1" applyFill="1" applyBorder="1" applyAlignment="1">
      <alignment vertical="center" wrapText="1"/>
    </xf>
    <xf numFmtId="0" fontId="23" fillId="3" borderId="7" xfId="0" applyFont="1" applyFill="1" applyBorder="1" applyAlignment="1">
      <alignment horizontal="center" vertical="center" wrapText="1"/>
    </xf>
    <xf numFmtId="0" fontId="23" fillId="3" borderId="8" xfId="0" applyFont="1" applyFill="1" applyBorder="1" applyAlignment="1">
      <alignment vertical="center" wrapText="1"/>
    </xf>
    <xf numFmtId="0" fontId="22" fillId="4" borderId="29" xfId="0" applyFont="1" applyFill="1" applyBorder="1" applyAlignment="1">
      <alignment horizontal="center" vertical="center" wrapText="1"/>
    </xf>
    <xf numFmtId="0" fontId="22" fillId="4" borderId="30" xfId="0" applyFont="1" applyFill="1" applyBorder="1" applyAlignment="1">
      <alignment vertical="center" wrapText="1"/>
    </xf>
    <xf numFmtId="0" fontId="22" fillId="4" borderId="30" xfId="0" applyFont="1" applyFill="1" applyBorder="1" applyAlignment="1">
      <alignment horizontal="center" vertical="center" wrapText="1"/>
    </xf>
    <xf numFmtId="43" fontId="5" fillId="4" borderId="9" xfId="1" applyFont="1" applyFill="1" applyBorder="1" applyAlignment="1">
      <alignment horizontal="center" vertical="center"/>
    </xf>
    <xf numFmtId="43" fontId="5" fillId="0" borderId="9" xfId="1" applyFont="1" applyFill="1" applyBorder="1" applyAlignment="1">
      <alignment horizontal="center" vertical="center"/>
    </xf>
    <xf numFmtId="0" fontId="24" fillId="6" borderId="9" xfId="0" applyFont="1" applyFill="1" applyBorder="1" applyAlignment="1">
      <alignment vertical="center" wrapText="1"/>
    </xf>
    <xf numFmtId="0" fontId="25" fillId="6" borderId="9" xfId="0" applyFont="1" applyFill="1" applyBorder="1" applyAlignment="1">
      <alignment horizontal="center" vertical="center" wrapText="1"/>
    </xf>
    <xf numFmtId="0" fontId="3" fillId="7" borderId="9" xfId="0" applyFont="1" applyFill="1" applyBorder="1" applyAlignment="1">
      <alignment horizontal="center" vertical="center"/>
    </xf>
    <xf numFmtId="43" fontId="26" fillId="7" borderId="9" xfId="1" applyFont="1" applyFill="1" applyBorder="1" applyAlignment="1">
      <alignment horizontal="center" vertical="center"/>
    </xf>
    <xf numFmtId="0" fontId="5" fillId="6" borderId="10" xfId="0" applyFont="1" applyFill="1" applyBorder="1" applyAlignment="1">
      <alignment vertical="center" wrapText="1"/>
    </xf>
    <xf numFmtId="0" fontId="14" fillId="6" borderId="9" xfId="0" applyFont="1" applyFill="1" applyBorder="1" applyAlignment="1">
      <alignment horizontal="center" vertical="center"/>
    </xf>
    <xf numFmtId="0" fontId="5" fillId="6" borderId="9" xfId="0" applyFont="1" applyFill="1" applyBorder="1" applyAlignment="1">
      <alignment vertical="center" wrapText="1"/>
    </xf>
    <xf numFmtId="0" fontId="2" fillId="6" borderId="9" xfId="0" applyFont="1" applyFill="1" applyBorder="1" applyAlignment="1">
      <alignment horizontal="center" vertical="center"/>
    </xf>
    <xf numFmtId="2" fontId="4" fillId="6" borderId="9" xfId="1" applyNumberFormat="1" applyFont="1" applyFill="1" applyBorder="1" applyAlignment="1">
      <alignment horizontal="center" vertical="center"/>
    </xf>
    <xf numFmtId="0" fontId="27" fillId="4" borderId="9" xfId="0" applyFont="1" applyFill="1" applyBorder="1" applyAlignment="1">
      <alignment horizontal="left" vertical="center"/>
    </xf>
    <xf numFmtId="0" fontId="13" fillId="4" borderId="9" xfId="0" applyFont="1" applyFill="1" applyBorder="1"/>
    <xf numFmtId="0" fontId="13" fillId="4" borderId="9" xfId="0" applyFont="1" applyFill="1" applyBorder="1" applyAlignment="1">
      <alignment horizontal="center"/>
    </xf>
    <xf numFmtId="0" fontId="13" fillId="0" borderId="0" xfId="0" applyFont="1" applyAlignment="1">
      <alignment vertical="center" wrapText="1"/>
    </xf>
    <xf numFmtId="0" fontId="13" fillId="0" borderId="15" xfId="0" applyFont="1" applyBorder="1" applyAlignment="1">
      <alignment horizontal="center" vertical="center"/>
    </xf>
    <xf numFmtId="2" fontId="13" fillId="0" borderId="15" xfId="0" applyNumberFormat="1" applyFont="1" applyBorder="1" applyAlignment="1">
      <alignment horizontal="center" vertical="center"/>
    </xf>
    <xf numFmtId="2" fontId="0" fillId="0" borderId="9" xfId="2" applyNumberFormat="1" applyFont="1" applyFill="1" applyBorder="1" applyAlignment="1">
      <alignment horizontal="center" vertical="center" wrapText="1"/>
    </xf>
    <xf numFmtId="0" fontId="0" fillId="6" borderId="9" xfId="0" applyFill="1" applyBorder="1" applyAlignment="1">
      <alignment wrapText="1"/>
    </xf>
    <xf numFmtId="0" fontId="0" fillId="6" borderId="9" xfId="0" applyFill="1" applyBorder="1" applyAlignment="1">
      <alignment vertical="center"/>
    </xf>
    <xf numFmtId="2" fontId="0" fillId="6" borderId="9" xfId="0" applyNumberFormat="1" applyFill="1" applyBorder="1" applyAlignment="1">
      <alignment horizontal="center" vertical="center"/>
    </xf>
    <xf numFmtId="0" fontId="28" fillId="10" borderId="2" xfId="0" applyFont="1" applyFill="1" applyBorder="1" applyAlignment="1">
      <alignment vertical="center"/>
    </xf>
    <xf numFmtId="0" fontId="28" fillId="10" borderId="3" xfId="0" applyFont="1" applyFill="1" applyBorder="1"/>
    <xf numFmtId="0" fontId="28" fillId="10" borderId="4" xfId="0" applyFont="1" applyFill="1" applyBorder="1"/>
    <xf numFmtId="0" fontId="29" fillId="10" borderId="31" xfId="0" applyFont="1" applyFill="1" applyBorder="1" applyAlignment="1">
      <alignment horizontal="left" vertical="center"/>
    </xf>
    <xf numFmtId="0" fontId="29" fillId="10" borderId="32" xfId="0" applyFont="1" applyFill="1" applyBorder="1" applyAlignment="1">
      <alignment horizontal="left"/>
    </xf>
    <xf numFmtId="0" fontId="29" fillId="10" borderId="5" xfId="0" applyFont="1" applyFill="1" applyBorder="1"/>
    <xf numFmtId="0" fontId="29" fillId="11" borderId="33" xfId="0" applyFont="1" applyFill="1" applyBorder="1" applyAlignment="1">
      <alignment vertical="center" wrapText="1"/>
    </xf>
    <xf numFmtId="0" fontId="29" fillId="11" borderId="34" xfId="0" applyFont="1" applyFill="1" applyBorder="1" applyAlignment="1">
      <alignment vertical="center" wrapText="1"/>
    </xf>
    <xf numFmtId="0" fontId="29" fillId="11" borderId="35" xfId="0" applyFont="1" applyFill="1" applyBorder="1" applyAlignment="1">
      <alignment vertical="center" wrapText="1"/>
    </xf>
    <xf numFmtId="0" fontId="32" fillId="0" borderId="36" xfId="0" applyFont="1" applyBorder="1" applyAlignment="1">
      <alignment horizontal="center" vertical="center" wrapText="1"/>
    </xf>
    <xf numFmtId="0" fontId="33" fillId="0" borderId="15" xfId="0" applyFont="1" applyBorder="1" applyAlignment="1">
      <alignment vertical="center" wrapText="1"/>
    </xf>
    <xf numFmtId="43" fontId="29" fillId="0" borderId="25" xfId="0" applyNumberFormat="1" applyFont="1" applyBorder="1" applyAlignment="1">
      <alignment horizontal="center" vertical="center" wrapText="1"/>
    </xf>
    <xf numFmtId="43" fontId="30" fillId="0" borderId="25" xfId="0" applyNumberFormat="1" applyFont="1" applyBorder="1" applyAlignment="1">
      <alignment horizontal="center" vertical="center" wrapText="1"/>
    </xf>
    <xf numFmtId="0" fontId="33" fillId="0" borderId="9" xfId="0" applyFont="1" applyBorder="1" applyAlignment="1">
      <alignment vertical="center" wrapText="1"/>
    </xf>
    <xf numFmtId="0" fontId="32" fillId="0" borderId="37" xfId="0" applyFont="1" applyBorder="1" applyAlignment="1">
      <alignment horizontal="center" vertical="center" wrapText="1"/>
    </xf>
    <xf numFmtId="0" fontId="33" fillId="0" borderId="13" xfId="0" applyFont="1" applyBorder="1" applyAlignment="1">
      <alignment vertical="center" wrapText="1"/>
    </xf>
    <xf numFmtId="43" fontId="29" fillId="0" borderId="38" xfId="0" applyNumberFormat="1" applyFont="1" applyBorder="1" applyAlignment="1">
      <alignment horizontal="center" vertical="center" wrapText="1"/>
    </xf>
    <xf numFmtId="44" fontId="29" fillId="12" borderId="39" xfId="3" applyFont="1" applyFill="1" applyBorder="1" applyAlignment="1">
      <alignment horizontal="center" vertical="center" wrapText="1"/>
    </xf>
    <xf numFmtId="0" fontId="34" fillId="0" borderId="0" xfId="0" applyFont="1"/>
    <xf numFmtId="0" fontId="35" fillId="0" borderId="0" xfId="0" applyFont="1" applyAlignment="1">
      <alignment horizontal="right" vertical="center"/>
    </xf>
    <xf numFmtId="0" fontId="36" fillId="4" borderId="9" xfId="0" applyFont="1" applyFill="1" applyBorder="1" applyAlignment="1">
      <alignment horizontal="center"/>
    </xf>
    <xf numFmtId="0" fontId="38" fillId="4" borderId="9" xfId="4" applyFont="1" applyFill="1" applyBorder="1" applyAlignment="1">
      <alignment horizontal="left" vertical="center" wrapText="1"/>
    </xf>
    <xf numFmtId="0" fontId="39" fillId="4" borderId="9" xfId="0" applyFont="1" applyFill="1" applyBorder="1" applyAlignment="1">
      <alignment horizontal="center" vertical="center"/>
    </xf>
    <xf numFmtId="44" fontId="39" fillId="4" borderId="9" xfId="3" applyFont="1" applyFill="1" applyBorder="1" applyAlignment="1">
      <alignment horizontal="center" vertical="center"/>
    </xf>
    <xf numFmtId="0" fontId="39" fillId="4" borderId="9" xfId="0" applyFont="1" applyFill="1" applyBorder="1"/>
    <xf numFmtId="0" fontId="40" fillId="0" borderId="15" xfId="0" applyFont="1" applyBorder="1" applyAlignment="1">
      <alignment horizontal="center" vertical="center"/>
    </xf>
    <xf numFmtId="0" fontId="41" fillId="0" borderId="15" xfId="0" applyFont="1" applyBorder="1" applyAlignment="1">
      <alignment horizontal="left" vertical="top" wrapText="1"/>
    </xf>
    <xf numFmtId="0" fontId="42" fillId="0" borderId="15" xfId="0" applyFont="1" applyBorder="1" applyAlignment="1">
      <alignment horizontal="center" vertical="center"/>
    </xf>
    <xf numFmtId="44" fontId="42" fillId="0" borderId="15" xfId="3" applyFont="1" applyBorder="1" applyAlignment="1" applyProtection="1">
      <alignment horizontal="center" vertical="center"/>
      <protection locked="0"/>
    </xf>
    <xf numFmtId="44" fontId="42" fillId="0" borderId="15" xfId="3" applyFont="1" applyBorder="1" applyAlignment="1" applyProtection="1">
      <alignment horizontal="center" vertical="center"/>
    </xf>
    <xf numFmtId="0" fontId="11" fillId="0" borderId="9" xfId="4" applyFont="1" applyBorder="1" applyAlignment="1">
      <alignment horizontal="right" vertical="center"/>
    </xf>
    <xf numFmtId="0" fontId="11" fillId="0" borderId="9" xfId="4" applyFont="1" applyBorder="1" applyAlignment="1">
      <alignment horizontal="left" vertical="top" wrapText="1"/>
    </xf>
    <xf numFmtId="0" fontId="13" fillId="0" borderId="9" xfId="0" applyFont="1" applyBorder="1" applyAlignment="1">
      <alignment horizontal="center" vertical="center" wrapText="1"/>
    </xf>
    <xf numFmtId="2" fontId="13" fillId="0" borderId="9" xfId="0" applyNumberFormat="1" applyFont="1" applyBorder="1" applyAlignment="1">
      <alignment horizontal="center" vertical="center" wrapText="1"/>
    </xf>
    <xf numFmtId="44" fontId="13" fillId="0" borderId="9" xfId="3" applyFont="1" applyBorder="1" applyAlignment="1">
      <alignment horizontal="center" vertical="center" wrapText="1"/>
    </xf>
    <xf numFmtId="0" fontId="11" fillId="0" borderId="9" xfId="4" applyFont="1" applyBorder="1" applyAlignment="1">
      <alignment horizontal="left" vertical="center" wrapText="1"/>
    </xf>
    <xf numFmtId="0" fontId="40" fillId="0" borderId="9" xfId="0" applyFont="1" applyBorder="1" applyAlignment="1">
      <alignment horizontal="center" vertical="center"/>
    </xf>
    <xf numFmtId="0" fontId="41" fillId="0" borderId="9" xfId="0" applyFont="1" applyBorder="1" applyAlignment="1">
      <alignment horizontal="left" vertical="top" wrapText="1"/>
    </xf>
    <xf numFmtId="0" fontId="42" fillId="0" borderId="9" xfId="0" applyFont="1" applyBorder="1" applyAlignment="1">
      <alignment horizontal="center" vertical="center"/>
    </xf>
    <xf numFmtId="44" fontId="42" fillId="0" borderId="9" xfId="3" applyFont="1" applyBorder="1" applyAlignment="1" applyProtection="1">
      <alignment horizontal="center" vertical="center"/>
      <protection locked="0"/>
    </xf>
    <xf numFmtId="44" fontId="42" fillId="0" borderId="9" xfId="3" applyFont="1" applyBorder="1" applyAlignment="1" applyProtection="1">
      <alignment horizontal="center" vertical="center"/>
    </xf>
    <xf numFmtId="1" fontId="13" fillId="0" borderId="9" xfId="0" applyNumberFormat="1" applyFont="1" applyBorder="1" applyAlignment="1">
      <alignment horizontal="center" vertical="center" wrapText="1"/>
    </xf>
    <xf numFmtId="44" fontId="11" fillId="0" borderId="9" xfId="3" applyFont="1" applyFill="1" applyBorder="1" applyAlignment="1">
      <alignment horizontal="center" vertical="center" wrapText="1"/>
    </xf>
    <xf numFmtId="0" fontId="43" fillId="0" borderId="40" xfId="0" applyFont="1" applyBorder="1" applyAlignment="1">
      <alignment horizontal="center" vertical="center" wrapText="1"/>
    </xf>
    <xf numFmtId="2" fontId="43" fillId="0" borderId="40" xfId="0" applyNumberFormat="1" applyFont="1" applyBorder="1" applyAlignment="1">
      <alignment horizontal="left" vertical="center" wrapText="1"/>
    </xf>
    <xf numFmtId="2" fontId="13" fillId="0" borderId="40" xfId="0" applyNumberFormat="1" applyFont="1" applyBorder="1" applyAlignment="1">
      <alignment horizontal="center" vertical="center" wrapText="1"/>
    </xf>
    <xf numFmtId="43" fontId="13" fillId="0" borderId="40" xfId="1" applyFont="1" applyBorder="1" applyAlignment="1">
      <alignment horizontal="center" vertical="center" wrapText="1"/>
    </xf>
    <xf numFmtId="166" fontId="13" fillId="0" borderId="40" xfId="3" applyNumberFormat="1" applyFont="1" applyBorder="1" applyAlignment="1">
      <alignment horizontal="center" vertical="center"/>
    </xf>
    <xf numFmtId="0" fontId="13" fillId="0" borderId="40" xfId="0" applyFont="1" applyBorder="1" applyAlignment="1">
      <alignment horizontal="left" vertical="center" wrapText="1"/>
    </xf>
    <xf numFmtId="0" fontId="13" fillId="0" borderId="41" xfId="0" applyFont="1" applyBorder="1" applyAlignment="1">
      <alignment horizontal="right" vertical="center" wrapText="1"/>
    </xf>
    <xf numFmtId="2" fontId="13" fillId="0" borderId="41" xfId="0" applyNumberFormat="1" applyFont="1" applyBorder="1" applyAlignment="1">
      <alignment horizontal="left" vertical="center" wrapText="1"/>
    </xf>
    <xf numFmtId="2" fontId="13" fillId="0" borderId="41" xfId="0" applyNumberFormat="1" applyFont="1" applyBorder="1" applyAlignment="1">
      <alignment horizontal="center" vertical="center" wrapText="1"/>
    </xf>
    <xf numFmtId="43" fontId="13" fillId="0" borderId="41" xfId="1" applyFont="1" applyBorder="1" applyAlignment="1">
      <alignment horizontal="center" vertical="center" wrapText="1"/>
    </xf>
    <xf numFmtId="166" fontId="13" fillId="0" borderId="41" xfId="3" applyNumberFormat="1" applyFont="1" applyBorder="1" applyAlignment="1">
      <alignment horizontal="center" vertical="center"/>
    </xf>
    <xf numFmtId="44" fontId="13" fillId="0" borderId="41" xfId="3" applyFont="1" applyBorder="1" applyAlignment="1">
      <alignment horizontal="left" vertical="center" wrapText="1"/>
    </xf>
    <xf numFmtId="0" fontId="40" fillId="5" borderId="9" xfId="0" applyFont="1" applyFill="1" applyBorder="1" applyAlignment="1">
      <alignment vertical="center"/>
    </xf>
    <xf numFmtId="44" fontId="45" fillId="5" borderId="9" xfId="3" applyFont="1" applyFill="1" applyBorder="1" applyAlignment="1">
      <alignment horizontal="center" vertical="center"/>
    </xf>
    <xf numFmtId="0" fontId="0" fillId="13" borderId="9" xfId="0" applyFill="1" applyBorder="1" applyAlignment="1">
      <alignment horizontal="center" vertical="center"/>
    </xf>
    <xf numFmtId="43" fontId="5" fillId="13" borderId="9" xfId="1" applyFont="1" applyFill="1" applyBorder="1" applyAlignment="1">
      <alignment horizontal="left" vertical="center"/>
    </xf>
    <xf numFmtId="44" fontId="26" fillId="6" borderId="9" xfId="3" applyFont="1" applyFill="1" applyBorder="1" applyAlignment="1">
      <alignment horizontal="center" vertical="center"/>
    </xf>
    <xf numFmtId="0" fontId="4" fillId="6" borderId="9" xfId="0" applyFont="1" applyFill="1" applyBorder="1" applyAlignment="1">
      <alignment horizontal="center" vertical="center" wrapText="1"/>
    </xf>
    <xf numFmtId="43" fontId="5" fillId="6" borderId="9" xfId="1" applyFont="1" applyFill="1" applyBorder="1" applyAlignment="1">
      <alignment horizontal="center" vertical="center"/>
    </xf>
    <xf numFmtId="0" fontId="3" fillId="6" borderId="9" xfId="0" applyFont="1" applyFill="1" applyBorder="1" applyAlignment="1">
      <alignment horizontal="center" vertical="center"/>
    </xf>
    <xf numFmtId="43" fontId="20" fillId="6" borderId="9" xfId="1" applyFont="1" applyFill="1" applyBorder="1" applyAlignment="1">
      <alignment horizontal="center" vertical="center"/>
    </xf>
    <xf numFmtId="44" fontId="26" fillId="6" borderId="10" xfId="0" applyNumberFormat="1" applyFont="1" applyFill="1" applyBorder="1" applyAlignment="1">
      <alignment horizontal="left" vertical="center" wrapText="1"/>
    </xf>
    <xf numFmtId="0" fontId="26" fillId="6" borderId="11" xfId="0" applyFont="1" applyFill="1" applyBorder="1" applyAlignment="1">
      <alignment horizontal="left" vertical="center" wrapText="1"/>
    </xf>
    <xf numFmtId="0" fontId="26" fillId="6" borderId="12" xfId="0" applyFont="1" applyFill="1" applyBorder="1" applyAlignment="1">
      <alignment horizontal="left" vertical="center" wrapText="1"/>
    </xf>
    <xf numFmtId="44" fontId="21" fillId="8" borderId="20" xfId="3" applyFont="1" applyFill="1" applyBorder="1"/>
    <xf numFmtId="44" fontId="4" fillId="6" borderId="9" xfId="3" applyFont="1" applyFill="1" applyBorder="1" applyAlignment="1">
      <alignment horizontal="center" vertical="center"/>
    </xf>
    <xf numFmtId="0" fontId="35" fillId="0" borderId="0" xfId="0" applyFont="1" applyAlignment="1">
      <alignment horizontal="center" vertical="center"/>
    </xf>
    <xf numFmtId="0" fontId="30" fillId="10" borderId="2" xfId="0" applyFont="1" applyFill="1" applyBorder="1" applyAlignment="1">
      <alignment horizontal="left" vertical="center" wrapText="1"/>
    </xf>
    <xf numFmtId="0" fontId="30" fillId="10" borderId="4" xfId="0" applyFont="1" applyFill="1" applyBorder="1" applyAlignment="1">
      <alignment horizontal="left" vertical="center" wrapText="1"/>
    </xf>
    <xf numFmtId="0" fontId="30" fillId="10" borderId="2" xfId="0" applyFont="1" applyFill="1" applyBorder="1" applyAlignment="1">
      <alignment horizontal="left"/>
    </xf>
    <xf numFmtId="0" fontId="30" fillId="10" borderId="4" xfId="0" applyFont="1" applyFill="1" applyBorder="1" applyAlignment="1">
      <alignment horizontal="left"/>
    </xf>
    <xf numFmtId="0" fontId="31" fillId="10" borderId="2" xfId="0" applyFont="1" applyFill="1" applyBorder="1" applyAlignment="1">
      <alignment horizontal="left"/>
    </xf>
    <xf numFmtId="0" fontId="31" fillId="10" borderId="4" xfId="0" applyFont="1" applyFill="1" applyBorder="1" applyAlignment="1">
      <alignment horizontal="left"/>
    </xf>
    <xf numFmtId="0" fontId="29" fillId="12" borderId="2" xfId="0" applyFont="1" applyFill="1" applyBorder="1" applyAlignment="1">
      <alignment horizontal="center" vertical="center" wrapText="1"/>
    </xf>
    <xf numFmtId="0" fontId="29" fillId="12" borderId="3" xfId="0" applyFont="1" applyFill="1" applyBorder="1" applyAlignment="1">
      <alignment horizontal="center" vertical="center" wrapText="1"/>
    </xf>
    <xf numFmtId="0" fontId="0" fillId="0" borderId="24" xfId="0" applyFont="1" applyBorder="1" applyAlignment="1">
      <alignment horizontal="center" vertical="center"/>
    </xf>
    <xf numFmtId="0" fontId="0" fillId="0" borderId="9" xfId="0" applyFont="1" applyBorder="1" applyAlignment="1">
      <alignment horizontal="center" vertical="center"/>
    </xf>
    <xf numFmtId="0" fontId="0" fillId="0" borderId="25" xfId="0" applyFont="1" applyBorder="1" applyAlignment="1">
      <alignment horizontal="center" vertical="center"/>
    </xf>
    <xf numFmtId="0" fontId="0" fillId="0" borderId="26" xfId="0" applyFont="1" applyBorder="1" applyAlignment="1">
      <alignment horizontal="center" vertical="center"/>
    </xf>
    <xf numFmtId="0" fontId="0" fillId="0" borderId="27" xfId="0" applyFont="1" applyBorder="1" applyAlignment="1">
      <alignment horizontal="center" vertical="center"/>
    </xf>
    <xf numFmtId="0" fontId="0" fillId="0" borderId="28" xfId="0" applyFont="1" applyBorder="1" applyAlignment="1">
      <alignment horizontal="center" vertical="center"/>
    </xf>
    <xf numFmtId="0" fontId="16" fillId="4" borderId="10" xfId="0" applyFont="1" applyFill="1" applyBorder="1" applyAlignment="1">
      <alignment horizontal="left" vertical="center"/>
    </xf>
    <xf numFmtId="0" fontId="16" fillId="4" borderId="11" xfId="0" applyFont="1" applyFill="1" applyBorder="1" applyAlignment="1">
      <alignment horizontal="left" vertical="center"/>
    </xf>
    <xf numFmtId="0" fontId="16" fillId="4" borderId="12" xfId="0" applyFont="1" applyFill="1" applyBorder="1" applyAlignment="1">
      <alignment horizontal="left" vertical="center"/>
    </xf>
    <xf numFmtId="0" fontId="4" fillId="7" borderId="10" xfId="0" applyFont="1" applyFill="1" applyBorder="1" applyAlignment="1">
      <alignment horizontal="center" vertical="center" wrapText="1"/>
    </xf>
    <xf numFmtId="0" fontId="4" fillId="7" borderId="11" xfId="0" applyFont="1" applyFill="1" applyBorder="1" applyAlignment="1">
      <alignment horizontal="center" vertical="center" wrapText="1"/>
    </xf>
    <xf numFmtId="0" fontId="4" fillId="7" borderId="12" xfId="0" applyFont="1" applyFill="1" applyBorder="1" applyAlignment="1">
      <alignment horizontal="center" vertical="center" wrapText="1"/>
    </xf>
    <xf numFmtId="0" fontId="20" fillId="8" borderId="42" xfId="0" applyFont="1" applyFill="1" applyBorder="1" applyAlignment="1">
      <alignment horizontal="center" vertical="center"/>
    </xf>
    <xf numFmtId="0" fontId="20" fillId="8" borderId="43" xfId="0" applyFont="1" applyFill="1" applyBorder="1" applyAlignment="1">
      <alignment horizontal="center" vertical="center"/>
    </xf>
    <xf numFmtId="0" fontId="20" fillId="8" borderId="44" xfId="0" applyFont="1" applyFill="1" applyBorder="1" applyAlignment="1">
      <alignment horizontal="center" vertical="center"/>
    </xf>
    <xf numFmtId="0" fontId="0" fillId="0" borderId="21"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6" fillId="6" borderId="10" xfId="0" applyFont="1" applyFill="1" applyBorder="1" applyAlignment="1">
      <alignment horizontal="left" vertical="center" wrapText="1"/>
    </xf>
    <xf numFmtId="0" fontId="26" fillId="6" borderId="11" xfId="0" applyFont="1" applyFill="1" applyBorder="1" applyAlignment="1">
      <alignment horizontal="left" vertical="center" wrapText="1"/>
    </xf>
    <xf numFmtId="0" fontId="26" fillId="6" borderId="12" xfId="0" applyFont="1" applyFill="1" applyBorder="1" applyAlignment="1">
      <alignment horizontal="left" vertical="center" wrapText="1"/>
    </xf>
    <xf numFmtId="0" fontId="4" fillId="6" borderId="10" xfId="0" applyFont="1" applyFill="1" applyBorder="1" applyAlignment="1">
      <alignment horizontal="center" vertical="center" wrapText="1"/>
    </xf>
    <xf numFmtId="0" fontId="4" fillId="6" borderId="11" xfId="0" applyFont="1" applyFill="1" applyBorder="1" applyAlignment="1">
      <alignment horizontal="center" vertical="center" wrapText="1"/>
    </xf>
    <xf numFmtId="0" fontId="4" fillId="6" borderId="12" xfId="0" applyFont="1" applyFill="1" applyBorder="1" applyAlignment="1">
      <alignment horizontal="center" vertical="center" wrapText="1"/>
    </xf>
    <xf numFmtId="44" fontId="44" fillId="5" borderId="10" xfId="3" applyFont="1" applyFill="1" applyBorder="1" applyAlignment="1" applyProtection="1">
      <alignment horizontal="center" vertical="center"/>
      <protection locked="0"/>
    </xf>
    <xf numFmtId="44" fontId="44" fillId="5" borderId="11" xfId="3" applyFont="1" applyFill="1" applyBorder="1" applyAlignment="1" applyProtection="1">
      <alignment horizontal="center" vertical="center"/>
      <protection locked="0"/>
    </xf>
    <xf numFmtId="44" fontId="44" fillId="5" borderId="12" xfId="3" applyFont="1" applyFill="1" applyBorder="1" applyAlignment="1" applyProtection="1">
      <alignment horizontal="center" vertical="center"/>
      <protection locked="0"/>
    </xf>
    <xf numFmtId="0" fontId="4" fillId="13" borderId="9" xfId="0" applyFont="1" applyFill="1" applyBorder="1" applyAlignment="1">
      <alignment horizontal="center" vertical="center" wrapText="1"/>
    </xf>
    <xf numFmtId="44" fontId="26" fillId="6" borderId="10" xfId="0" applyNumberFormat="1" applyFont="1" applyFill="1" applyBorder="1" applyAlignment="1">
      <alignment horizontal="left" vertical="center" wrapText="1"/>
    </xf>
    <xf numFmtId="0" fontId="3" fillId="2" borderId="2" xfId="0" applyFont="1" applyFill="1" applyBorder="1" applyAlignment="1">
      <alignment horizontal="left"/>
    </xf>
    <xf numFmtId="0" fontId="3" fillId="2" borderId="3" xfId="0" applyFont="1" applyFill="1" applyBorder="1" applyAlignment="1">
      <alignment horizontal="left"/>
    </xf>
    <xf numFmtId="0" fontId="3" fillId="2" borderId="4" xfId="0" applyFont="1" applyFill="1" applyBorder="1" applyAlignment="1">
      <alignment horizontal="left"/>
    </xf>
    <xf numFmtId="0" fontId="4" fillId="5" borderId="10" xfId="0" applyFont="1" applyFill="1" applyBorder="1" applyAlignment="1">
      <alignment horizontal="center" vertical="center"/>
    </xf>
    <xf numFmtId="0" fontId="4" fillId="5" borderId="11" xfId="0" applyFont="1" applyFill="1" applyBorder="1" applyAlignment="1">
      <alignment horizontal="center" vertical="center"/>
    </xf>
    <xf numFmtId="0" fontId="4" fillId="5" borderId="12" xfId="0" applyFont="1" applyFill="1" applyBorder="1" applyAlignment="1">
      <alignment horizontal="center" vertical="center"/>
    </xf>
    <xf numFmtId="0" fontId="46" fillId="8" borderId="17" xfId="0" applyFont="1" applyFill="1" applyBorder="1" applyAlignment="1">
      <alignment horizontal="center" vertical="center"/>
    </xf>
    <xf numFmtId="0" fontId="46" fillId="8" borderId="18" xfId="0" applyFont="1" applyFill="1" applyBorder="1" applyAlignment="1">
      <alignment horizontal="center" vertical="center"/>
    </xf>
    <xf numFmtId="0" fontId="46" fillId="8" borderId="19" xfId="0" applyFont="1" applyFill="1" applyBorder="1" applyAlignment="1">
      <alignment horizontal="center" vertical="center"/>
    </xf>
    <xf numFmtId="0" fontId="22" fillId="2" borderId="2" xfId="0" applyFont="1" applyFill="1" applyBorder="1" applyAlignment="1">
      <alignment horizontal="left"/>
    </xf>
    <xf numFmtId="0" fontId="22" fillId="2" borderId="3" xfId="0" applyFont="1" applyFill="1" applyBorder="1" applyAlignment="1">
      <alignment horizontal="left"/>
    </xf>
    <xf numFmtId="0" fontId="22" fillId="2" borderId="4" xfId="0" applyFont="1" applyFill="1" applyBorder="1" applyAlignment="1">
      <alignment horizontal="left"/>
    </xf>
    <xf numFmtId="0" fontId="3" fillId="7" borderId="10" xfId="0" applyFont="1" applyFill="1" applyBorder="1" applyAlignment="1">
      <alignment horizontal="center" vertical="center" wrapText="1"/>
    </xf>
    <xf numFmtId="0" fontId="3" fillId="7" borderId="11" xfId="0" applyFont="1" applyFill="1" applyBorder="1" applyAlignment="1">
      <alignment horizontal="center" vertical="center" wrapText="1"/>
    </xf>
    <xf numFmtId="0" fontId="3" fillId="7" borderId="12" xfId="0" applyFont="1" applyFill="1" applyBorder="1" applyAlignment="1">
      <alignment horizontal="center" vertical="center" wrapText="1"/>
    </xf>
    <xf numFmtId="0" fontId="5" fillId="6" borderId="10" xfId="0" applyFont="1" applyFill="1" applyBorder="1" applyAlignment="1">
      <alignment horizontal="center" vertical="center" wrapText="1"/>
    </xf>
    <xf numFmtId="0" fontId="5" fillId="6" borderId="11" xfId="0" applyFont="1" applyFill="1" applyBorder="1" applyAlignment="1">
      <alignment horizontal="center" vertical="center" wrapText="1"/>
    </xf>
    <xf numFmtId="0" fontId="5" fillId="6" borderId="12" xfId="0" applyFont="1" applyFill="1" applyBorder="1" applyAlignment="1">
      <alignment horizontal="center" vertical="center" wrapText="1"/>
    </xf>
    <xf numFmtId="0" fontId="0" fillId="6" borderId="10" xfId="0" applyFont="1" applyFill="1" applyBorder="1" applyAlignment="1">
      <alignment horizontal="center"/>
    </xf>
    <xf numFmtId="0" fontId="0" fillId="6" borderId="11" xfId="0" applyFont="1" applyFill="1" applyBorder="1" applyAlignment="1">
      <alignment horizontal="center"/>
    </xf>
    <xf numFmtId="0" fontId="0" fillId="6" borderId="12" xfId="0" applyFont="1" applyFill="1" applyBorder="1" applyAlignment="1">
      <alignment horizontal="center"/>
    </xf>
    <xf numFmtId="0" fontId="2" fillId="4" borderId="10" xfId="0" applyFont="1" applyFill="1" applyBorder="1" applyAlignment="1">
      <alignment horizontal="left" vertical="center" wrapText="1"/>
    </xf>
    <xf numFmtId="0" fontId="2" fillId="4" borderId="11" xfId="0" applyFont="1" applyFill="1" applyBorder="1" applyAlignment="1">
      <alignment horizontal="left" vertical="center" wrapText="1"/>
    </xf>
    <xf numFmtId="0" fontId="2" fillId="4" borderId="12" xfId="0" applyFont="1" applyFill="1" applyBorder="1" applyAlignment="1">
      <alignment horizontal="left" vertical="center" wrapText="1"/>
    </xf>
  </cellXfs>
  <cellStyles count="5">
    <cellStyle name="Comma" xfId="1" builtinId="3"/>
    <cellStyle name="Comma 3" xfId="2" xr:uid="{B4BC382D-C934-43CC-8A1A-CC32E1041EAA}"/>
    <cellStyle name="Currency" xfId="3" builtinId="4"/>
    <cellStyle name="Normal" xfId="0" builtinId="0"/>
    <cellStyle name="Normal 2" xfId="4" xr:uid="{13DF0C68-1828-453B-B14C-61405CCA4C4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2</xdr:col>
      <xdr:colOff>187325</xdr:colOff>
      <xdr:row>0</xdr:row>
      <xdr:rowOff>1</xdr:rowOff>
    </xdr:from>
    <xdr:to>
      <xdr:col>3</xdr:col>
      <xdr:colOff>17141</xdr:colOff>
      <xdr:row>1</xdr:row>
      <xdr:rowOff>38100</xdr:rowOff>
    </xdr:to>
    <xdr:pic>
      <xdr:nvPicPr>
        <xdr:cNvPr id="3" name="Picture 2">
          <a:extLst>
            <a:ext uri="{FF2B5EF4-FFF2-40B4-BE49-F238E27FC236}">
              <a16:creationId xmlns:a16="http://schemas.microsoft.com/office/drawing/2014/main" id="{7CEBE513-73A7-44FA-A6C0-FAFC68E6ED26}"/>
            </a:ext>
          </a:extLst>
        </xdr:cNvPr>
        <xdr:cNvPicPr>
          <a:picLocks noChangeAspect="1"/>
        </xdr:cNvPicPr>
      </xdr:nvPicPr>
      <xdr:blipFill>
        <a:blip xmlns:r="http://schemas.openxmlformats.org/officeDocument/2006/relationships" r:embed="rId1"/>
        <a:stretch>
          <a:fillRect/>
        </a:stretch>
      </xdr:blipFill>
      <xdr:spPr>
        <a:xfrm>
          <a:off x="4978400" y="1"/>
          <a:ext cx="1420491" cy="5714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4</xdr:col>
      <xdr:colOff>508000</xdr:colOff>
      <xdr:row>0</xdr:row>
      <xdr:rowOff>0</xdr:rowOff>
    </xdr:from>
    <xdr:ext cx="1416050" cy="365075"/>
    <xdr:pic>
      <xdr:nvPicPr>
        <xdr:cNvPr id="3" name="Picture 2">
          <a:extLst>
            <a:ext uri="{FF2B5EF4-FFF2-40B4-BE49-F238E27FC236}">
              <a16:creationId xmlns:a16="http://schemas.microsoft.com/office/drawing/2014/main" id="{755804C0-46DC-4024-A0BF-B9A9942DC6A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4699000" y="0"/>
          <a:ext cx="1416050" cy="365075"/>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4</xdr:col>
      <xdr:colOff>508000</xdr:colOff>
      <xdr:row>0</xdr:row>
      <xdr:rowOff>0</xdr:rowOff>
    </xdr:from>
    <xdr:ext cx="1416050" cy="365075"/>
    <xdr:pic>
      <xdr:nvPicPr>
        <xdr:cNvPr id="3" name="Picture 2">
          <a:extLst>
            <a:ext uri="{FF2B5EF4-FFF2-40B4-BE49-F238E27FC236}">
              <a16:creationId xmlns:a16="http://schemas.microsoft.com/office/drawing/2014/main" id="{8FD6C013-EFD1-4D89-9DBF-2DF0D7B6E18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4708525" y="0"/>
          <a:ext cx="1416050" cy="365075"/>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4</xdr:col>
      <xdr:colOff>508000</xdr:colOff>
      <xdr:row>0</xdr:row>
      <xdr:rowOff>0</xdr:rowOff>
    </xdr:from>
    <xdr:ext cx="1416050" cy="365075"/>
    <xdr:pic>
      <xdr:nvPicPr>
        <xdr:cNvPr id="3" name="Picture 2">
          <a:extLst>
            <a:ext uri="{FF2B5EF4-FFF2-40B4-BE49-F238E27FC236}">
              <a16:creationId xmlns:a16="http://schemas.microsoft.com/office/drawing/2014/main" id="{45A82338-F47C-4A65-A1FE-0F99887C424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4784725" y="0"/>
          <a:ext cx="1416050" cy="365075"/>
        </a:xfrm>
        <a:prstGeom prst="rect">
          <a:avLst/>
        </a:prstGeom>
      </xdr:spPr>
    </xdr:pic>
    <xdr:clientData/>
  </xdr:oneCellAnchor>
  <xdr:oneCellAnchor>
    <xdr:from>
      <xdr:col>4</xdr:col>
      <xdr:colOff>508000</xdr:colOff>
      <xdr:row>0</xdr:row>
      <xdr:rowOff>0</xdr:rowOff>
    </xdr:from>
    <xdr:ext cx="1416050" cy="365075"/>
    <xdr:pic>
      <xdr:nvPicPr>
        <xdr:cNvPr id="4" name="Picture 3">
          <a:extLst>
            <a:ext uri="{FF2B5EF4-FFF2-40B4-BE49-F238E27FC236}">
              <a16:creationId xmlns:a16="http://schemas.microsoft.com/office/drawing/2014/main" id="{8ABA85C3-FA37-47AC-BCA8-91C2FBB3316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4784725" y="0"/>
          <a:ext cx="1416050" cy="365075"/>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1A6FE-700A-4CD6-9B0C-B15A6F7B92F6}">
  <dimension ref="A1:C16"/>
  <sheetViews>
    <sheetView view="pageBreakPreview" zoomScale="90" zoomScaleNormal="100" zoomScaleSheetLayoutView="90" workbookViewId="0">
      <selection activeCell="C9" sqref="C9"/>
    </sheetView>
  </sheetViews>
  <sheetFormatPr defaultRowHeight="15" x14ac:dyDescent="0.25"/>
  <cols>
    <col min="1" max="1" width="12.42578125" customWidth="1"/>
    <col min="2" max="2" width="59.42578125" customWidth="1"/>
    <col min="3" max="3" width="23.85546875" customWidth="1"/>
  </cols>
  <sheetData>
    <row r="1" spans="1:3" ht="42" customHeight="1" thickBot="1" x14ac:dyDescent="0.55000000000000004">
      <c r="A1" s="128" t="s">
        <v>146</v>
      </c>
      <c r="B1" s="129"/>
      <c r="C1" s="130"/>
    </row>
    <row r="2" spans="1:3" ht="43.5" customHeight="1" thickBot="1" x14ac:dyDescent="0.3">
      <c r="A2" s="131" t="s">
        <v>139</v>
      </c>
      <c r="B2" s="198" t="s">
        <v>147</v>
      </c>
      <c r="C2" s="199"/>
    </row>
    <row r="3" spans="1:3" ht="22.5" thickBot="1" x14ac:dyDescent="0.5">
      <c r="A3" s="132" t="s">
        <v>0</v>
      </c>
      <c r="B3" s="200" t="s">
        <v>1</v>
      </c>
      <c r="C3" s="201"/>
    </row>
    <row r="4" spans="1:3" ht="20.25" thickBot="1" x14ac:dyDescent="0.45">
      <c r="A4" s="133" t="s">
        <v>4</v>
      </c>
      <c r="B4" s="202" t="s">
        <v>148</v>
      </c>
      <c r="C4" s="203"/>
    </row>
    <row r="5" spans="1:3" ht="20.25" thickBot="1" x14ac:dyDescent="0.3">
      <c r="A5" s="134" t="s">
        <v>64</v>
      </c>
      <c r="B5" s="135" t="s">
        <v>140</v>
      </c>
      <c r="C5" s="136" t="s">
        <v>10</v>
      </c>
    </row>
    <row r="6" spans="1:3" ht="22.5" thickTop="1" x14ac:dyDescent="0.25">
      <c r="A6" s="137">
        <v>1</v>
      </c>
      <c r="B6" s="138" t="s">
        <v>149</v>
      </c>
      <c r="C6" s="139">
        <f>'Qodqod PS'!F119</f>
        <v>0</v>
      </c>
    </row>
    <row r="7" spans="1:3" ht="21.75" x14ac:dyDescent="0.25">
      <c r="A7" s="137">
        <v>2</v>
      </c>
      <c r="B7" s="138" t="s">
        <v>150</v>
      </c>
      <c r="C7" s="140">
        <f>'Girijir PS'!F53</f>
        <v>0</v>
      </c>
    </row>
    <row r="8" spans="1:3" ht="21.75" x14ac:dyDescent="0.25">
      <c r="A8" s="137">
        <v>3</v>
      </c>
      <c r="B8" s="141" t="s">
        <v>151</v>
      </c>
      <c r="C8" s="139">
        <f>'Mataban-Alfurqan PS'!F118</f>
        <v>0</v>
      </c>
    </row>
    <row r="9" spans="1:3" ht="22.5" thickBot="1" x14ac:dyDescent="0.3">
      <c r="A9" s="142"/>
      <c r="B9" s="143"/>
      <c r="C9" s="144"/>
    </row>
    <row r="10" spans="1:3" ht="20.25" thickBot="1" x14ac:dyDescent="0.3">
      <c r="A10" s="204" t="s">
        <v>141</v>
      </c>
      <c r="B10" s="205"/>
      <c r="C10" s="145">
        <f>SUM(C6:C9)</f>
        <v>0</v>
      </c>
    </row>
    <row r="11" spans="1:3" x14ac:dyDescent="0.25">
      <c r="A11" s="146"/>
      <c r="B11" s="146"/>
      <c r="C11" s="146"/>
    </row>
    <row r="12" spans="1:3" x14ac:dyDescent="0.25">
      <c r="A12" s="146"/>
      <c r="B12" s="146"/>
      <c r="C12" s="146"/>
    </row>
    <row r="13" spans="1:3" x14ac:dyDescent="0.25">
      <c r="A13" s="147" t="s">
        <v>142</v>
      </c>
      <c r="B13" s="197"/>
      <c r="C13" s="197"/>
    </row>
    <row r="14" spans="1:3" x14ac:dyDescent="0.25">
      <c r="A14" s="147" t="s">
        <v>143</v>
      </c>
      <c r="B14" s="197"/>
      <c r="C14" s="197"/>
    </row>
    <row r="15" spans="1:3" x14ac:dyDescent="0.25">
      <c r="A15" s="147" t="s">
        <v>144</v>
      </c>
      <c r="B15" s="197"/>
      <c r="C15" s="197"/>
    </row>
    <row r="16" spans="1:3" x14ac:dyDescent="0.25">
      <c r="A16" s="147" t="s">
        <v>145</v>
      </c>
      <c r="B16" s="197"/>
      <c r="C16" s="197"/>
    </row>
  </sheetData>
  <mergeCells count="8">
    <mergeCell ref="B15:C15"/>
    <mergeCell ref="B16:C16"/>
    <mergeCell ref="B2:C2"/>
    <mergeCell ref="B3:C3"/>
    <mergeCell ref="B4:C4"/>
    <mergeCell ref="A10:B10"/>
    <mergeCell ref="B13:C13"/>
    <mergeCell ref="B14:C14"/>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95BCF-B819-4465-94FC-67AED48E40EC}">
  <dimension ref="A1:F125"/>
  <sheetViews>
    <sheetView view="pageBreakPreview" topLeftCell="A98" zoomScale="96" zoomScaleNormal="100" zoomScaleSheetLayoutView="96" workbookViewId="0">
      <selection activeCell="D101" sqref="D101"/>
    </sheetView>
  </sheetViews>
  <sheetFormatPr defaultRowHeight="15" x14ac:dyDescent="0.25"/>
  <cols>
    <col min="1" max="1" width="11.28515625" customWidth="1"/>
    <col min="2" max="2" width="34.7109375" customWidth="1"/>
    <col min="3" max="3" width="6.5703125" customWidth="1"/>
    <col min="4" max="4" width="10.28515625" customWidth="1"/>
    <col min="5" max="5" width="11.42578125" customWidth="1"/>
    <col min="6" max="6" width="16.140625" customWidth="1"/>
  </cols>
  <sheetData>
    <row r="1" spans="1:6" ht="27.75" customHeight="1" thickBot="1" x14ac:dyDescent="0.3">
      <c r="A1" s="1" t="s">
        <v>0</v>
      </c>
      <c r="B1" s="235" t="s">
        <v>1</v>
      </c>
      <c r="C1" s="236"/>
      <c r="D1" s="236"/>
      <c r="E1" s="236"/>
      <c r="F1" s="237"/>
    </row>
    <row r="2" spans="1:6" ht="16.5" thickBot="1" x14ac:dyDescent="0.3">
      <c r="A2" s="1" t="s">
        <v>2</v>
      </c>
      <c r="B2" s="235" t="s">
        <v>3</v>
      </c>
      <c r="C2" s="236"/>
      <c r="D2" s="236"/>
      <c r="E2" s="236"/>
      <c r="F2" s="237"/>
    </row>
    <row r="3" spans="1:6" ht="16.5" thickBot="1" x14ac:dyDescent="0.3">
      <c r="A3" s="2" t="s">
        <v>4</v>
      </c>
      <c r="B3" s="235" t="s">
        <v>105</v>
      </c>
      <c r="C3" s="236"/>
      <c r="D3" s="236"/>
      <c r="E3" s="236"/>
      <c r="F3" s="237"/>
    </row>
    <row r="4" spans="1:6" ht="15.75" thickTop="1" x14ac:dyDescent="0.25">
      <c r="A4" s="3" t="s">
        <v>5</v>
      </c>
      <c r="B4" s="4" t="s">
        <v>6</v>
      </c>
      <c r="C4" s="5" t="s">
        <v>7</v>
      </c>
      <c r="D4" s="5" t="s">
        <v>8</v>
      </c>
      <c r="E4" s="5" t="s">
        <v>9</v>
      </c>
      <c r="F4" s="6" t="s">
        <v>10</v>
      </c>
    </row>
    <row r="5" spans="1:6" x14ac:dyDescent="0.25">
      <c r="A5" s="7" t="s">
        <v>11</v>
      </c>
      <c r="B5" s="8" t="s">
        <v>152</v>
      </c>
      <c r="C5" s="9"/>
      <c r="D5" s="9"/>
      <c r="E5" s="10"/>
      <c r="F5" s="11"/>
    </row>
    <row r="6" spans="1:6" x14ac:dyDescent="0.25">
      <c r="A6" s="12"/>
      <c r="B6" s="13" t="s">
        <v>12</v>
      </c>
      <c r="C6" s="14"/>
      <c r="D6" s="14"/>
      <c r="E6" s="15"/>
      <c r="F6" s="16"/>
    </row>
    <row r="7" spans="1:6" x14ac:dyDescent="0.25">
      <c r="A7" s="12"/>
      <c r="B7" s="17" t="s">
        <v>13</v>
      </c>
      <c r="C7" s="14"/>
      <c r="D7" s="14"/>
      <c r="E7" s="15"/>
      <c r="F7" s="16"/>
    </row>
    <row r="8" spans="1:6" ht="60" x14ac:dyDescent="0.25">
      <c r="A8" s="14">
        <v>1</v>
      </c>
      <c r="B8" s="18" t="s">
        <v>14</v>
      </c>
      <c r="C8" s="19" t="s">
        <v>15</v>
      </c>
      <c r="D8" s="14">
        <f>7.4*4.2</f>
        <v>31.080000000000002</v>
      </c>
      <c r="E8" s="15"/>
      <c r="F8" s="16">
        <f t="shared" ref="F8:F61" si="0">D8*E8</f>
        <v>0</v>
      </c>
    </row>
    <row r="9" spans="1:6" ht="45" x14ac:dyDescent="0.25">
      <c r="A9" s="14">
        <v>2</v>
      </c>
      <c r="B9" s="20" t="s">
        <v>16</v>
      </c>
      <c r="C9" s="14" t="s">
        <v>17</v>
      </c>
      <c r="D9" s="15">
        <f>2*3*5</f>
        <v>30</v>
      </c>
      <c r="E9" s="21"/>
      <c r="F9" s="16">
        <f t="shared" si="0"/>
        <v>0</v>
      </c>
    </row>
    <row r="10" spans="1:6" ht="45" x14ac:dyDescent="0.25">
      <c r="A10" s="14">
        <v>3</v>
      </c>
      <c r="B10" s="20" t="s">
        <v>18</v>
      </c>
      <c r="C10" s="14" t="s">
        <v>17</v>
      </c>
      <c r="D10" s="22">
        <f>10*0.15</f>
        <v>1.5</v>
      </c>
      <c r="E10" s="15"/>
      <c r="F10" s="16">
        <f t="shared" si="0"/>
        <v>0</v>
      </c>
    </row>
    <row r="11" spans="1:6" ht="75" x14ac:dyDescent="0.25">
      <c r="A11" s="14">
        <v>4</v>
      </c>
      <c r="B11" s="20" t="s">
        <v>19</v>
      </c>
      <c r="C11" s="14" t="s">
        <v>17</v>
      </c>
      <c r="D11" s="22">
        <f>28.5*0.4*0.3</f>
        <v>3.42</v>
      </c>
      <c r="E11" s="15"/>
      <c r="F11" s="16">
        <f t="shared" si="0"/>
        <v>0</v>
      </c>
    </row>
    <row r="12" spans="1:6" ht="60" x14ac:dyDescent="0.25">
      <c r="A12" s="14">
        <v>5</v>
      </c>
      <c r="B12" s="20" t="s">
        <v>20</v>
      </c>
      <c r="C12" s="14" t="s">
        <v>17</v>
      </c>
      <c r="D12" s="22">
        <f>25.8*0.4*0.05</f>
        <v>0.51600000000000001</v>
      </c>
      <c r="E12" s="15"/>
      <c r="F12" s="16">
        <f t="shared" si="0"/>
        <v>0</v>
      </c>
    </row>
    <row r="13" spans="1:6" ht="105" x14ac:dyDescent="0.25">
      <c r="A13" s="14">
        <v>6</v>
      </c>
      <c r="B13" s="20" t="s">
        <v>21</v>
      </c>
      <c r="C13" s="14" t="s">
        <v>17</v>
      </c>
      <c r="D13" s="23">
        <f>25.8*0.6*0.4</f>
        <v>6.1920000000000002</v>
      </c>
      <c r="E13" s="15"/>
      <c r="F13" s="16">
        <f t="shared" si="0"/>
        <v>0</v>
      </c>
    </row>
    <row r="14" spans="1:6" x14ac:dyDescent="0.25">
      <c r="A14" s="12"/>
      <c r="B14" s="17" t="s">
        <v>22</v>
      </c>
      <c r="C14" s="24"/>
      <c r="D14" s="97"/>
      <c r="E14" s="22"/>
      <c r="F14" s="16"/>
    </row>
    <row r="15" spans="1:6" ht="105" x14ac:dyDescent="0.25">
      <c r="A15" s="14">
        <v>7</v>
      </c>
      <c r="B15" s="20" t="s">
        <v>23</v>
      </c>
      <c r="C15" s="14" t="s">
        <v>17</v>
      </c>
      <c r="D15" s="23">
        <f>0.4*25.8*0.15</f>
        <v>1.548</v>
      </c>
      <c r="E15" s="23"/>
      <c r="F15" s="16">
        <f t="shared" si="0"/>
        <v>0</v>
      </c>
    </row>
    <row r="16" spans="1:6" ht="135" x14ac:dyDescent="0.25">
      <c r="A16" s="14">
        <v>8</v>
      </c>
      <c r="B16" s="20" t="s">
        <v>153</v>
      </c>
      <c r="C16" s="14" t="s">
        <v>17</v>
      </c>
      <c r="D16" s="23">
        <f>3.8*2.8*0.15</f>
        <v>1.5959999999999999</v>
      </c>
      <c r="E16" s="23"/>
      <c r="F16" s="16">
        <f t="shared" si="0"/>
        <v>0</v>
      </c>
    </row>
    <row r="17" spans="1:6" x14ac:dyDescent="0.25">
      <c r="A17" s="12"/>
      <c r="B17" s="17" t="s">
        <v>24</v>
      </c>
      <c r="C17" s="14"/>
      <c r="D17" s="24"/>
      <c r="E17" s="23"/>
      <c r="F17" s="16"/>
    </row>
    <row r="18" spans="1:6" ht="60" x14ac:dyDescent="0.25">
      <c r="A18" s="14">
        <v>9</v>
      </c>
      <c r="B18" s="20" t="s">
        <v>25</v>
      </c>
      <c r="C18" s="14" t="s">
        <v>17</v>
      </c>
      <c r="D18" s="15">
        <f>25.8*0.2</f>
        <v>5.16</v>
      </c>
      <c r="E18" s="23"/>
      <c r="F18" s="16">
        <f t="shared" si="0"/>
        <v>0</v>
      </c>
    </row>
    <row r="19" spans="1:6" ht="45" x14ac:dyDescent="0.25">
      <c r="A19" s="14">
        <v>10</v>
      </c>
      <c r="B19" s="20" t="s">
        <v>26</v>
      </c>
      <c r="C19" s="14" t="s">
        <v>17</v>
      </c>
      <c r="D19" s="25">
        <f>D18</f>
        <v>5.16</v>
      </c>
      <c r="E19" s="23"/>
      <c r="F19" s="16">
        <f t="shared" si="0"/>
        <v>0</v>
      </c>
    </row>
    <row r="20" spans="1:6" x14ac:dyDescent="0.25">
      <c r="A20" s="14"/>
      <c r="B20" s="26" t="s">
        <v>27</v>
      </c>
      <c r="C20" s="14"/>
      <c r="D20" s="27"/>
      <c r="E20" s="23"/>
      <c r="F20" s="16"/>
    </row>
    <row r="21" spans="1:6" ht="60" x14ac:dyDescent="0.25">
      <c r="A21" s="14">
        <v>11</v>
      </c>
      <c r="B21" s="20" t="s">
        <v>28</v>
      </c>
      <c r="C21" s="14" t="s">
        <v>17</v>
      </c>
      <c r="D21" s="27">
        <f>6.3*4.2*0.05</f>
        <v>1.3230000000000002</v>
      </c>
      <c r="E21" s="23"/>
      <c r="F21" s="16">
        <f t="shared" si="0"/>
        <v>0</v>
      </c>
    </row>
    <row r="22" spans="1:6" ht="45" x14ac:dyDescent="0.25">
      <c r="A22" s="14">
        <v>12</v>
      </c>
      <c r="B22" s="28" t="s">
        <v>29</v>
      </c>
      <c r="C22" s="19" t="s">
        <v>15</v>
      </c>
      <c r="D22" s="97">
        <f>2*2*2</f>
        <v>8</v>
      </c>
      <c r="E22" s="23"/>
      <c r="F22" s="16">
        <f t="shared" si="0"/>
        <v>0</v>
      </c>
    </row>
    <row r="23" spans="1:6" ht="75" x14ac:dyDescent="0.25">
      <c r="A23" s="14">
        <v>13</v>
      </c>
      <c r="B23" s="28" t="s">
        <v>30</v>
      </c>
      <c r="C23" s="19" t="s">
        <v>15</v>
      </c>
      <c r="D23" s="97">
        <v>34.200000000000003</v>
      </c>
      <c r="E23" s="23"/>
      <c r="F23" s="16">
        <f t="shared" si="0"/>
        <v>0</v>
      </c>
    </row>
    <row r="24" spans="1:6" x14ac:dyDescent="0.25">
      <c r="A24" s="29"/>
      <c r="B24" s="20"/>
      <c r="C24" s="97"/>
      <c r="D24" s="30"/>
      <c r="E24" s="23"/>
      <c r="F24" s="16"/>
    </row>
    <row r="25" spans="1:6" x14ac:dyDescent="0.25">
      <c r="A25" s="29"/>
      <c r="B25" s="31" t="s">
        <v>12</v>
      </c>
      <c r="C25" s="97"/>
      <c r="D25" s="97"/>
      <c r="E25" s="23"/>
      <c r="F25" s="16"/>
    </row>
    <row r="26" spans="1:6" x14ac:dyDescent="0.25">
      <c r="A26" s="32"/>
      <c r="B26" s="33" t="s">
        <v>31</v>
      </c>
      <c r="C26" s="34"/>
      <c r="D26" s="34"/>
      <c r="E26" s="21"/>
      <c r="F26" s="16"/>
    </row>
    <row r="27" spans="1:6" ht="75" x14ac:dyDescent="0.25">
      <c r="A27" s="32">
        <v>14</v>
      </c>
      <c r="B27" s="28" t="s">
        <v>32</v>
      </c>
      <c r="C27" s="19" t="s">
        <v>15</v>
      </c>
      <c r="D27" s="97">
        <f>25.8*2.9</f>
        <v>74.819999999999993</v>
      </c>
      <c r="E27" s="23"/>
      <c r="F27" s="16">
        <f t="shared" si="0"/>
        <v>0</v>
      </c>
    </row>
    <row r="28" spans="1:6" x14ac:dyDescent="0.25">
      <c r="A28" s="32"/>
      <c r="B28" s="33" t="s">
        <v>33</v>
      </c>
      <c r="C28" s="34"/>
      <c r="D28" s="34"/>
      <c r="E28" s="22"/>
      <c r="F28" s="16"/>
    </row>
    <row r="29" spans="1:6" ht="120" x14ac:dyDescent="0.25">
      <c r="A29" s="35">
        <v>15</v>
      </c>
      <c r="B29" s="28" t="s">
        <v>34</v>
      </c>
      <c r="C29" s="14" t="s">
        <v>17</v>
      </c>
      <c r="D29" s="23">
        <f>25.8*0.15*0.15</f>
        <v>0.58050000000000002</v>
      </c>
      <c r="E29" s="23"/>
      <c r="F29" s="16">
        <f t="shared" si="0"/>
        <v>0</v>
      </c>
    </row>
    <row r="30" spans="1:6" x14ac:dyDescent="0.25">
      <c r="A30" s="36"/>
      <c r="B30" s="26" t="s">
        <v>35</v>
      </c>
      <c r="C30" s="34"/>
      <c r="D30" s="34"/>
      <c r="E30" s="23"/>
      <c r="F30" s="16"/>
    </row>
    <row r="31" spans="1:6" ht="60" x14ac:dyDescent="0.25">
      <c r="A31" s="36">
        <v>16</v>
      </c>
      <c r="B31" s="28" t="s">
        <v>36</v>
      </c>
      <c r="C31" s="14" t="s">
        <v>37</v>
      </c>
      <c r="D31" s="23">
        <v>1</v>
      </c>
      <c r="E31" s="23"/>
      <c r="F31" s="16">
        <f t="shared" si="0"/>
        <v>0</v>
      </c>
    </row>
    <row r="32" spans="1:6" ht="60" x14ac:dyDescent="0.25">
      <c r="A32" s="36">
        <v>17</v>
      </c>
      <c r="B32" s="28" t="s">
        <v>38</v>
      </c>
      <c r="C32" s="14" t="s">
        <v>37</v>
      </c>
      <c r="D32" s="23">
        <v>1</v>
      </c>
      <c r="E32" s="23"/>
      <c r="F32" s="16">
        <f t="shared" si="0"/>
        <v>0</v>
      </c>
    </row>
    <row r="33" spans="1:6" ht="60" x14ac:dyDescent="0.25">
      <c r="A33" s="36">
        <v>18</v>
      </c>
      <c r="B33" s="37" t="s">
        <v>39</v>
      </c>
      <c r="C33" s="97" t="s">
        <v>37</v>
      </c>
      <c r="D33" s="23">
        <v>1</v>
      </c>
      <c r="E33" s="23"/>
      <c r="F33" s="16">
        <f t="shared" si="0"/>
        <v>0</v>
      </c>
    </row>
    <row r="34" spans="1:6" x14ac:dyDescent="0.25">
      <c r="A34" s="38"/>
      <c r="B34" s="34"/>
      <c r="C34" s="34"/>
      <c r="D34" s="34"/>
      <c r="E34" s="23"/>
      <c r="F34" s="16"/>
    </row>
    <row r="35" spans="1:6" x14ac:dyDescent="0.25">
      <c r="A35" s="38"/>
      <c r="B35" s="31" t="s">
        <v>40</v>
      </c>
      <c r="C35" s="34"/>
      <c r="D35" s="34"/>
      <c r="E35" s="23"/>
      <c r="F35" s="16"/>
    </row>
    <row r="36" spans="1:6" ht="180" x14ac:dyDescent="0.25">
      <c r="A36" s="36">
        <v>19</v>
      </c>
      <c r="B36" s="28" t="s">
        <v>154</v>
      </c>
      <c r="C36" s="19" t="s">
        <v>15</v>
      </c>
      <c r="D36" s="23">
        <f>(4.6*2*1.5)</f>
        <v>13.799999999999999</v>
      </c>
      <c r="E36" s="23"/>
      <c r="F36" s="16">
        <f t="shared" si="0"/>
        <v>0</v>
      </c>
    </row>
    <row r="37" spans="1:6" ht="60" x14ac:dyDescent="0.25">
      <c r="A37" s="36">
        <v>20</v>
      </c>
      <c r="B37" s="28" t="s">
        <v>86</v>
      </c>
      <c r="C37" s="19" t="s">
        <v>15</v>
      </c>
      <c r="D37" s="23">
        <f>4.6*2</f>
        <v>9.1999999999999993</v>
      </c>
      <c r="E37" s="23"/>
      <c r="F37" s="16">
        <f>E37*D37</f>
        <v>0</v>
      </c>
    </row>
    <row r="38" spans="1:6" x14ac:dyDescent="0.25">
      <c r="A38" s="36">
        <v>20</v>
      </c>
      <c r="B38" s="34" t="s">
        <v>41</v>
      </c>
      <c r="C38" s="97" t="s">
        <v>15</v>
      </c>
      <c r="D38" s="23">
        <v>14.8</v>
      </c>
      <c r="E38" s="23"/>
      <c r="F38" s="16">
        <f t="shared" si="0"/>
        <v>0</v>
      </c>
    </row>
    <row r="39" spans="1:6" x14ac:dyDescent="0.25">
      <c r="A39" s="38"/>
      <c r="B39" s="34"/>
      <c r="C39" s="34"/>
      <c r="D39" s="34"/>
      <c r="E39" s="23"/>
      <c r="F39" s="16"/>
    </row>
    <row r="40" spans="1:6" x14ac:dyDescent="0.25">
      <c r="A40" s="38"/>
      <c r="B40" s="31" t="s">
        <v>42</v>
      </c>
      <c r="C40" s="34"/>
      <c r="D40" s="34"/>
      <c r="E40" s="23"/>
      <c r="F40" s="16"/>
    </row>
    <row r="41" spans="1:6" ht="45" x14ac:dyDescent="0.25">
      <c r="A41" s="36">
        <v>21</v>
      </c>
      <c r="B41" s="37" t="s">
        <v>43</v>
      </c>
      <c r="C41" s="19" t="s">
        <v>15</v>
      </c>
      <c r="D41" s="97">
        <f>50.8*2.9</f>
        <v>147.32</v>
      </c>
      <c r="E41" s="23"/>
      <c r="F41" s="16">
        <f t="shared" si="0"/>
        <v>0</v>
      </c>
    </row>
    <row r="42" spans="1:6" ht="45" x14ac:dyDescent="0.25">
      <c r="A42" s="36">
        <v>22</v>
      </c>
      <c r="B42" s="37" t="s">
        <v>44</v>
      </c>
      <c r="C42" s="19" t="s">
        <v>15</v>
      </c>
      <c r="D42" s="97">
        <f>D41</f>
        <v>147.32</v>
      </c>
      <c r="E42" s="23"/>
      <c r="F42" s="16">
        <f t="shared" si="0"/>
        <v>0</v>
      </c>
    </row>
    <row r="43" spans="1:6" ht="75" x14ac:dyDescent="0.25">
      <c r="A43" s="36">
        <v>23</v>
      </c>
      <c r="B43" s="37" t="s">
        <v>45</v>
      </c>
      <c r="C43" s="19" t="s">
        <v>15</v>
      </c>
      <c r="D43" s="97">
        <f>D42</f>
        <v>147.32</v>
      </c>
      <c r="E43" s="23"/>
      <c r="F43" s="16">
        <f t="shared" si="0"/>
        <v>0</v>
      </c>
    </row>
    <row r="44" spans="1:6" x14ac:dyDescent="0.25">
      <c r="A44" s="38"/>
      <c r="B44" s="34"/>
      <c r="C44" s="34"/>
      <c r="D44" s="34"/>
      <c r="E44" s="23"/>
      <c r="F44" s="16"/>
    </row>
    <row r="45" spans="1:6" x14ac:dyDescent="0.25">
      <c r="A45" s="39"/>
      <c r="B45" s="31" t="s">
        <v>46</v>
      </c>
      <c r="C45" s="34"/>
      <c r="D45" s="34"/>
      <c r="E45" s="23"/>
      <c r="F45" s="16"/>
    </row>
    <row r="46" spans="1:6" x14ac:dyDescent="0.25">
      <c r="A46" s="36"/>
      <c r="B46" s="33" t="s">
        <v>47</v>
      </c>
      <c r="C46" s="34"/>
      <c r="D46" s="34"/>
      <c r="E46" s="23"/>
      <c r="F46" s="16"/>
    </row>
    <row r="47" spans="1:6" ht="60" x14ac:dyDescent="0.25">
      <c r="A47" s="36">
        <v>24</v>
      </c>
      <c r="B47" s="37" t="s">
        <v>48</v>
      </c>
      <c r="C47" s="97" t="s">
        <v>49</v>
      </c>
      <c r="D47" s="23">
        <v>2</v>
      </c>
      <c r="E47" s="23"/>
      <c r="F47" s="16">
        <f t="shared" si="0"/>
        <v>0</v>
      </c>
    </row>
    <row r="48" spans="1:6" x14ac:dyDescent="0.25">
      <c r="A48" s="38"/>
      <c r="B48" s="33" t="s">
        <v>50</v>
      </c>
      <c r="C48" s="34"/>
      <c r="D48" s="34"/>
      <c r="E48" s="23"/>
      <c r="F48" s="16"/>
    </row>
    <row r="49" spans="1:6" ht="60" x14ac:dyDescent="0.25">
      <c r="A49" s="36">
        <v>25</v>
      </c>
      <c r="B49" s="28" t="s">
        <v>51</v>
      </c>
      <c r="C49" s="97" t="s">
        <v>49</v>
      </c>
      <c r="D49" s="23">
        <v>3</v>
      </c>
      <c r="E49" s="23"/>
      <c r="F49" s="16">
        <f t="shared" si="0"/>
        <v>0</v>
      </c>
    </row>
    <row r="50" spans="1:6" x14ac:dyDescent="0.25">
      <c r="A50" s="36"/>
      <c r="B50" s="28"/>
      <c r="C50" s="97"/>
      <c r="D50" s="23"/>
      <c r="E50" s="23"/>
      <c r="F50" s="16"/>
    </row>
    <row r="51" spans="1:6" x14ac:dyDescent="0.25">
      <c r="A51" s="36"/>
      <c r="B51" s="31" t="s">
        <v>52</v>
      </c>
      <c r="C51" s="34"/>
      <c r="D51" s="34"/>
      <c r="E51" s="23"/>
      <c r="F51" s="16"/>
    </row>
    <row r="52" spans="1:6" x14ac:dyDescent="0.25">
      <c r="A52" s="36"/>
      <c r="B52" s="33" t="s">
        <v>53</v>
      </c>
      <c r="C52" s="34"/>
      <c r="D52" s="34"/>
      <c r="E52" s="23"/>
      <c r="F52" s="16"/>
    </row>
    <row r="53" spans="1:6" ht="30" x14ac:dyDescent="0.25">
      <c r="A53" s="36">
        <v>26</v>
      </c>
      <c r="B53" s="40" t="s">
        <v>54</v>
      </c>
      <c r="C53" s="97" t="s">
        <v>49</v>
      </c>
      <c r="D53" s="23">
        <v>1</v>
      </c>
      <c r="E53" s="23"/>
      <c r="F53" s="16">
        <f t="shared" si="0"/>
        <v>0</v>
      </c>
    </row>
    <row r="54" spans="1:6" ht="60" x14ac:dyDescent="0.25">
      <c r="A54" s="36">
        <v>27</v>
      </c>
      <c r="B54" s="40" t="s">
        <v>55</v>
      </c>
      <c r="C54" s="97" t="s">
        <v>49</v>
      </c>
      <c r="D54" s="23">
        <v>1</v>
      </c>
      <c r="E54" s="23"/>
      <c r="F54" s="16">
        <f t="shared" si="0"/>
        <v>0</v>
      </c>
    </row>
    <row r="55" spans="1:6" ht="75" x14ac:dyDescent="0.25">
      <c r="A55" s="36">
        <v>28</v>
      </c>
      <c r="B55" s="40" t="s">
        <v>155</v>
      </c>
      <c r="C55" s="97" t="s">
        <v>49</v>
      </c>
      <c r="D55" s="23">
        <v>1</v>
      </c>
      <c r="E55" s="23"/>
      <c r="F55" s="16">
        <f t="shared" si="0"/>
        <v>0</v>
      </c>
    </row>
    <row r="56" spans="1:6" ht="90" x14ac:dyDescent="0.25">
      <c r="A56" s="36">
        <v>29</v>
      </c>
      <c r="B56" s="40" t="s">
        <v>156</v>
      </c>
      <c r="C56" s="97" t="s">
        <v>49</v>
      </c>
      <c r="D56" s="23">
        <v>2</v>
      </c>
      <c r="E56" s="23"/>
      <c r="F56" s="16">
        <f t="shared" si="0"/>
        <v>0</v>
      </c>
    </row>
    <row r="57" spans="1:6" ht="45" x14ac:dyDescent="0.25">
      <c r="A57" s="36">
        <v>30</v>
      </c>
      <c r="B57" s="20" t="s">
        <v>56</v>
      </c>
      <c r="C57" s="97" t="s">
        <v>49</v>
      </c>
      <c r="D57" s="23">
        <v>2</v>
      </c>
      <c r="E57" s="23"/>
      <c r="F57" s="16">
        <f t="shared" si="0"/>
        <v>0</v>
      </c>
    </row>
    <row r="58" spans="1:6" ht="30" x14ac:dyDescent="0.25">
      <c r="A58" s="36">
        <v>31</v>
      </c>
      <c r="B58" s="20" t="s">
        <v>57</v>
      </c>
      <c r="C58" s="97" t="s">
        <v>58</v>
      </c>
      <c r="D58" s="23">
        <v>1</v>
      </c>
      <c r="E58" s="23"/>
      <c r="F58" s="16">
        <f t="shared" si="0"/>
        <v>0</v>
      </c>
    </row>
    <row r="59" spans="1:6" x14ac:dyDescent="0.25">
      <c r="A59" s="38"/>
      <c r="B59" s="34"/>
      <c r="C59" s="34"/>
      <c r="D59" s="34"/>
      <c r="E59" s="23"/>
      <c r="F59" s="16"/>
    </row>
    <row r="60" spans="1:6" x14ac:dyDescent="0.25">
      <c r="A60" s="38"/>
      <c r="B60" s="31" t="s">
        <v>59</v>
      </c>
      <c r="C60" s="34"/>
      <c r="D60" s="34"/>
      <c r="E60" s="23"/>
      <c r="F60" s="16"/>
    </row>
    <row r="61" spans="1:6" ht="45" x14ac:dyDescent="0.25">
      <c r="A61" s="36">
        <v>31</v>
      </c>
      <c r="B61" s="28" t="s">
        <v>60</v>
      </c>
      <c r="C61" s="97" t="s">
        <v>49</v>
      </c>
      <c r="D61" s="23">
        <v>2</v>
      </c>
      <c r="E61" s="23"/>
      <c r="F61" s="16">
        <f t="shared" si="0"/>
        <v>0</v>
      </c>
    </row>
    <row r="62" spans="1:6" x14ac:dyDescent="0.25">
      <c r="A62" s="41"/>
      <c r="B62" s="238" t="s">
        <v>157</v>
      </c>
      <c r="C62" s="239"/>
      <c r="D62" s="239"/>
      <c r="E62" s="240"/>
      <c r="F62" s="42">
        <f>SUM(F8:F61)</f>
        <v>0</v>
      </c>
    </row>
    <row r="63" spans="1:6" x14ac:dyDescent="0.25">
      <c r="A63" s="41"/>
      <c r="B63" s="238" t="s">
        <v>158</v>
      </c>
      <c r="C63" s="239"/>
      <c r="D63" s="239"/>
      <c r="E63" s="240"/>
      <c r="F63" s="42">
        <f>F62*2</f>
        <v>0</v>
      </c>
    </row>
    <row r="64" spans="1:6" x14ac:dyDescent="0.25">
      <c r="A64" s="43"/>
      <c r="B64" s="44"/>
      <c r="C64" s="44"/>
      <c r="D64" s="44"/>
      <c r="E64" s="44"/>
      <c r="F64" s="45"/>
    </row>
    <row r="65" spans="1:6" ht="15.75" x14ac:dyDescent="0.25">
      <c r="A65" s="148" t="s">
        <v>61</v>
      </c>
      <c r="B65" s="149" t="s">
        <v>159</v>
      </c>
      <c r="C65" s="150"/>
      <c r="D65" s="150"/>
      <c r="E65" s="151"/>
      <c r="F65" s="152"/>
    </row>
    <row r="66" spans="1:6" ht="16.5" x14ac:dyDescent="0.25">
      <c r="A66" s="153">
        <v>1</v>
      </c>
      <c r="B66" s="154" t="s">
        <v>160</v>
      </c>
      <c r="C66" s="155"/>
      <c r="D66" s="155"/>
      <c r="E66" s="156"/>
      <c r="F66" s="157"/>
    </row>
    <row r="67" spans="1:6" ht="120" x14ac:dyDescent="0.25">
      <c r="A67" s="158">
        <v>1.1000000000000001</v>
      </c>
      <c r="B67" s="159" t="s">
        <v>161</v>
      </c>
      <c r="C67" s="160"/>
      <c r="D67" s="161">
        <f>(2.5*1.8*1.3)</f>
        <v>5.8500000000000005</v>
      </c>
      <c r="E67" s="162"/>
      <c r="F67" s="162">
        <f>D67*E67</f>
        <v>0</v>
      </c>
    </row>
    <row r="68" spans="1:6" ht="45" x14ac:dyDescent="0.25">
      <c r="A68" s="158">
        <v>1.2</v>
      </c>
      <c r="B68" s="159" t="s">
        <v>162</v>
      </c>
      <c r="C68" s="160"/>
      <c r="D68" s="161">
        <f>(((1.8+1.8+2+2)*1)+(1.8*2))</f>
        <v>11.2</v>
      </c>
      <c r="E68" s="162"/>
      <c r="F68" s="162">
        <f t="shared" ref="F68:F69" si="1">D68*E68</f>
        <v>0</v>
      </c>
    </row>
    <row r="69" spans="1:6" ht="45" x14ac:dyDescent="0.25">
      <c r="A69" s="158">
        <v>1.3</v>
      </c>
      <c r="B69" s="163" t="s">
        <v>163</v>
      </c>
      <c r="C69" s="160"/>
      <c r="D69" s="161">
        <f>D68</f>
        <v>11.2</v>
      </c>
      <c r="E69" s="162"/>
      <c r="F69" s="162">
        <f t="shared" si="1"/>
        <v>0</v>
      </c>
    </row>
    <row r="70" spans="1:6" ht="16.5" x14ac:dyDescent="0.25">
      <c r="A70" s="164">
        <v>2</v>
      </c>
      <c r="B70" s="165" t="s">
        <v>164</v>
      </c>
      <c r="C70" s="166"/>
      <c r="D70" s="166"/>
      <c r="E70" s="167"/>
      <c r="F70" s="168"/>
    </row>
    <row r="71" spans="1:6" ht="135" x14ac:dyDescent="0.25">
      <c r="A71" s="158">
        <v>2.1</v>
      </c>
      <c r="B71" s="163" t="s">
        <v>165</v>
      </c>
      <c r="C71" s="160" t="s">
        <v>64</v>
      </c>
      <c r="D71" s="169">
        <v>1</v>
      </c>
      <c r="E71" s="162"/>
      <c r="F71" s="170">
        <f t="shared" ref="F71:F73" si="2">E71*D71</f>
        <v>0</v>
      </c>
    </row>
    <row r="72" spans="1:6" ht="105" x14ac:dyDescent="0.25">
      <c r="A72" s="158">
        <v>2.2000000000000002</v>
      </c>
      <c r="B72" s="163" t="s">
        <v>166</v>
      </c>
      <c r="C72" s="160" t="s">
        <v>37</v>
      </c>
      <c r="D72" s="169">
        <v>1</v>
      </c>
      <c r="E72" s="162"/>
      <c r="F72" s="170">
        <f t="shared" si="2"/>
        <v>0</v>
      </c>
    </row>
    <row r="73" spans="1:6" ht="120" x14ac:dyDescent="0.25">
      <c r="A73" s="158">
        <v>3.2</v>
      </c>
      <c r="B73" s="163" t="s">
        <v>167</v>
      </c>
      <c r="C73" s="160" t="s">
        <v>37</v>
      </c>
      <c r="D73" s="169">
        <v>1</v>
      </c>
      <c r="E73" s="162"/>
      <c r="F73" s="170">
        <f t="shared" si="2"/>
        <v>0</v>
      </c>
    </row>
    <row r="74" spans="1:6" x14ac:dyDescent="0.25">
      <c r="A74" s="171">
        <v>3</v>
      </c>
      <c r="B74" s="172" t="s">
        <v>168</v>
      </c>
      <c r="C74" s="173"/>
      <c r="D74" s="174"/>
      <c r="E74" s="175"/>
      <c r="F74" s="176"/>
    </row>
    <row r="75" spans="1:6" ht="60" x14ac:dyDescent="0.25">
      <c r="A75" s="177">
        <v>1.1000000000000001</v>
      </c>
      <c r="B75" s="178" t="s">
        <v>169</v>
      </c>
      <c r="C75" s="179" t="s">
        <v>170</v>
      </c>
      <c r="D75" s="180">
        <v>60</v>
      </c>
      <c r="E75" s="181"/>
      <c r="F75" s="182">
        <f t="shared" ref="F75" si="3">E75*D75</f>
        <v>0</v>
      </c>
    </row>
    <row r="76" spans="1:6" ht="16.5" x14ac:dyDescent="0.25">
      <c r="A76" s="183"/>
      <c r="B76" s="230" t="str">
        <f>B65</f>
        <v xml:space="preserve">One Ground Water Tank </v>
      </c>
      <c r="C76" s="231"/>
      <c r="D76" s="231"/>
      <c r="E76" s="232"/>
      <c r="F76" s="184">
        <f>SUM(F67:F75)</f>
        <v>0</v>
      </c>
    </row>
    <row r="77" spans="1:6" x14ac:dyDescent="0.25">
      <c r="A77" s="56"/>
      <c r="B77" s="57"/>
      <c r="C77" s="57"/>
      <c r="D77" s="57"/>
      <c r="E77" s="57"/>
      <c r="F77" s="57"/>
    </row>
    <row r="78" spans="1:6" x14ac:dyDescent="0.25">
      <c r="A78" s="7" t="s">
        <v>66</v>
      </c>
      <c r="B78" s="46" t="s">
        <v>67</v>
      </c>
      <c r="C78" s="47"/>
      <c r="D78" s="47"/>
      <c r="E78" s="48"/>
      <c r="F78" s="11"/>
    </row>
    <row r="79" spans="1:6" x14ac:dyDescent="0.25">
      <c r="A79" s="212" t="s">
        <v>68</v>
      </c>
      <c r="B79" s="213"/>
      <c r="C79" s="213"/>
      <c r="D79" s="213"/>
      <c r="E79" s="213"/>
      <c r="F79" s="214"/>
    </row>
    <row r="80" spans="1:6" ht="30" x14ac:dyDescent="0.25">
      <c r="A80" s="52">
        <v>1</v>
      </c>
      <c r="B80" s="20" t="s">
        <v>69</v>
      </c>
      <c r="C80" s="49" t="s">
        <v>63</v>
      </c>
      <c r="D80" s="32">
        <f>3*(10*9)</f>
        <v>270</v>
      </c>
      <c r="E80" s="58"/>
      <c r="F80" s="16">
        <f t="shared" ref="F80:F105" si="4">D80*E80</f>
        <v>0</v>
      </c>
    </row>
    <row r="81" spans="1:6" ht="60" x14ac:dyDescent="0.25">
      <c r="A81" s="52">
        <v>2</v>
      </c>
      <c r="B81" s="20" t="s">
        <v>70</v>
      </c>
      <c r="C81" s="49" t="s">
        <v>17</v>
      </c>
      <c r="D81" s="32">
        <f>(3*8.2*3+9*5)*0.5*0.7</f>
        <v>41.58</v>
      </c>
      <c r="E81" s="58"/>
      <c r="F81" s="16">
        <f t="shared" si="4"/>
        <v>0</v>
      </c>
    </row>
    <row r="82" spans="1:6" ht="45" x14ac:dyDescent="0.25">
      <c r="A82" s="52">
        <v>3</v>
      </c>
      <c r="B82" s="20" t="s">
        <v>71</v>
      </c>
      <c r="C82" s="49" t="s">
        <v>63</v>
      </c>
      <c r="D82" s="32">
        <f>(3*8.2*3+9*5)*0.05</f>
        <v>5.94</v>
      </c>
      <c r="E82" s="58"/>
      <c r="F82" s="16">
        <f t="shared" si="4"/>
        <v>0</v>
      </c>
    </row>
    <row r="83" spans="1:6" ht="45" x14ac:dyDescent="0.25">
      <c r="A83" s="52">
        <v>4</v>
      </c>
      <c r="B83" s="20" t="s">
        <v>72</v>
      </c>
      <c r="C83" s="49" t="s">
        <v>62</v>
      </c>
      <c r="D83" s="32">
        <f>(3*8.2*3+9*5)*0.9*0.4</f>
        <v>42.768000000000001</v>
      </c>
      <c r="E83" s="58"/>
      <c r="F83" s="16">
        <f t="shared" si="4"/>
        <v>0</v>
      </c>
    </row>
    <row r="84" spans="1:6" ht="105" x14ac:dyDescent="0.25">
      <c r="A84" s="52">
        <v>5</v>
      </c>
      <c r="B84" s="20" t="s">
        <v>73</v>
      </c>
      <c r="C84" s="59" t="s">
        <v>62</v>
      </c>
      <c r="D84" s="32">
        <f>(3*8.2*3+9*5)*0.2*0.4</f>
        <v>9.5040000000000013</v>
      </c>
      <c r="E84" s="22"/>
      <c r="F84" s="16">
        <f t="shared" si="4"/>
        <v>0</v>
      </c>
    </row>
    <row r="85" spans="1:6" ht="90" x14ac:dyDescent="0.25">
      <c r="A85" s="52">
        <v>6</v>
      </c>
      <c r="B85" s="20" t="s">
        <v>74</v>
      </c>
      <c r="C85" s="59" t="s">
        <v>62</v>
      </c>
      <c r="D85" s="36">
        <f>(7*2+4)*(0.7*0.7*0.3)</f>
        <v>2.6459999999999995</v>
      </c>
      <c r="E85" s="22"/>
      <c r="F85" s="16">
        <f t="shared" si="4"/>
        <v>0</v>
      </c>
    </row>
    <row r="86" spans="1:6" ht="90" x14ac:dyDescent="0.25">
      <c r="A86" s="52">
        <v>7</v>
      </c>
      <c r="B86" s="20" t="s">
        <v>75</v>
      </c>
      <c r="C86" s="50" t="s">
        <v>62</v>
      </c>
      <c r="D86" s="36">
        <f>(8*2+7)*(1*0.2*0.2)</f>
        <v>0.92000000000000015</v>
      </c>
      <c r="E86" s="51"/>
      <c r="F86" s="16">
        <f t="shared" si="4"/>
        <v>0</v>
      </c>
    </row>
    <row r="87" spans="1:6" ht="30" x14ac:dyDescent="0.25">
      <c r="A87" s="52">
        <v>8</v>
      </c>
      <c r="B87" s="20" t="s">
        <v>76</v>
      </c>
      <c r="C87" s="52" t="s">
        <v>62</v>
      </c>
      <c r="D87" s="60">
        <f>3*8*9*0.2</f>
        <v>43.2</v>
      </c>
      <c r="E87" s="58"/>
      <c r="F87" s="16">
        <f t="shared" si="4"/>
        <v>0</v>
      </c>
    </row>
    <row r="88" spans="1:6" x14ac:dyDescent="0.25">
      <c r="A88" s="52">
        <v>9</v>
      </c>
      <c r="B88" s="20" t="s">
        <v>77</v>
      </c>
      <c r="C88" s="52" t="s">
        <v>63</v>
      </c>
      <c r="D88" s="60">
        <f>3*8*9</f>
        <v>216</v>
      </c>
      <c r="E88" s="58"/>
      <c r="F88" s="16">
        <f t="shared" si="4"/>
        <v>0</v>
      </c>
    </row>
    <row r="89" spans="1:6" ht="45" x14ac:dyDescent="0.25">
      <c r="A89" s="52">
        <v>10</v>
      </c>
      <c r="B89" s="20" t="s">
        <v>78</v>
      </c>
      <c r="C89" s="14" t="s">
        <v>63</v>
      </c>
      <c r="D89" s="61">
        <f>D88</f>
        <v>216</v>
      </c>
      <c r="E89" s="22"/>
      <c r="F89" s="16">
        <f t="shared" si="4"/>
        <v>0</v>
      </c>
    </row>
    <row r="90" spans="1:6" ht="120" x14ac:dyDescent="0.25">
      <c r="A90" s="52">
        <v>11</v>
      </c>
      <c r="B90" s="20" t="s">
        <v>79</v>
      </c>
      <c r="C90" s="50" t="s">
        <v>62</v>
      </c>
      <c r="D90" s="60">
        <f>3*8*9*0.08</f>
        <v>17.28</v>
      </c>
      <c r="E90" s="58"/>
      <c r="F90" s="16">
        <f t="shared" si="4"/>
        <v>0</v>
      </c>
    </row>
    <row r="91" spans="1:6" ht="45" x14ac:dyDescent="0.25">
      <c r="A91" s="52">
        <v>12</v>
      </c>
      <c r="B91" s="20" t="s">
        <v>80</v>
      </c>
      <c r="C91" s="14" t="s">
        <v>63</v>
      </c>
      <c r="D91" s="32">
        <f>(3*8*2+5*7)*3.4</f>
        <v>282.2</v>
      </c>
      <c r="E91" s="58"/>
      <c r="F91" s="16">
        <f t="shared" si="4"/>
        <v>0</v>
      </c>
    </row>
    <row r="92" spans="1:6" ht="105" x14ac:dyDescent="0.25">
      <c r="A92" s="52">
        <v>13</v>
      </c>
      <c r="B92" s="20" t="s">
        <v>81</v>
      </c>
      <c r="C92" s="50" t="s">
        <v>62</v>
      </c>
      <c r="D92" s="32">
        <f>(3*8*1.75)*0.2*0.15</f>
        <v>1.26</v>
      </c>
      <c r="E92" s="51"/>
      <c r="F92" s="16">
        <f>D92*E92</f>
        <v>0</v>
      </c>
    </row>
    <row r="93" spans="1:6" ht="90" x14ac:dyDescent="0.25">
      <c r="A93" s="52">
        <v>14</v>
      </c>
      <c r="B93" s="20" t="s">
        <v>82</v>
      </c>
      <c r="C93" s="50" t="s">
        <v>62</v>
      </c>
      <c r="D93" s="32">
        <f>(3*8.2*2+9*5)*0.2*0.2</f>
        <v>3.7680000000000002</v>
      </c>
      <c r="E93" s="51"/>
      <c r="F93" s="16">
        <f>D93*E93</f>
        <v>0</v>
      </c>
    </row>
    <row r="94" spans="1:6" ht="90" x14ac:dyDescent="0.25">
      <c r="A94" s="52">
        <v>15</v>
      </c>
      <c r="B94" s="20" t="s">
        <v>83</v>
      </c>
      <c r="C94" s="52" t="s">
        <v>62</v>
      </c>
      <c r="D94" s="32">
        <f>(3*8.4*2+9*5)*0.2*0.3</f>
        <v>5.7240000000000002</v>
      </c>
      <c r="E94" s="58"/>
      <c r="F94" s="16">
        <f t="shared" si="4"/>
        <v>0</v>
      </c>
    </row>
    <row r="95" spans="1:6" ht="165" x14ac:dyDescent="0.25">
      <c r="A95" s="52">
        <v>16</v>
      </c>
      <c r="B95" s="20" t="s">
        <v>84</v>
      </c>
      <c r="C95" s="52" t="s">
        <v>62</v>
      </c>
      <c r="D95" s="62">
        <f>(0.2*0.2*3.8)*15</f>
        <v>2.2800000000000002</v>
      </c>
      <c r="E95" s="58"/>
      <c r="F95" s="16">
        <f t="shared" si="4"/>
        <v>0</v>
      </c>
    </row>
    <row r="96" spans="1:6" ht="120" x14ac:dyDescent="0.25">
      <c r="A96" s="52">
        <v>16</v>
      </c>
      <c r="B96" s="20" t="s">
        <v>85</v>
      </c>
      <c r="C96" s="52" t="s">
        <v>63</v>
      </c>
      <c r="D96" s="52">
        <f>(8.2*9.2*1.5)*3</f>
        <v>339.4799999999999</v>
      </c>
      <c r="E96" s="58"/>
      <c r="F96" s="16">
        <f t="shared" si="4"/>
        <v>0</v>
      </c>
    </row>
    <row r="97" spans="1:6" ht="60" x14ac:dyDescent="0.25">
      <c r="A97" s="52">
        <v>17</v>
      </c>
      <c r="B97" s="20" t="s">
        <v>86</v>
      </c>
      <c r="C97" s="52" t="s">
        <v>63</v>
      </c>
      <c r="D97" s="60">
        <f>(8*9)*3</f>
        <v>216</v>
      </c>
      <c r="E97" s="58"/>
      <c r="F97" s="16">
        <f t="shared" si="4"/>
        <v>0</v>
      </c>
    </row>
    <row r="98" spans="1:6" ht="75" x14ac:dyDescent="0.25">
      <c r="A98" s="52">
        <v>18</v>
      </c>
      <c r="B98" s="20" t="s">
        <v>87</v>
      </c>
      <c r="C98" s="59" t="s">
        <v>65</v>
      </c>
      <c r="D98" s="59">
        <v>1</v>
      </c>
      <c r="E98" s="22"/>
      <c r="F98" s="16">
        <f t="shared" si="4"/>
        <v>0</v>
      </c>
    </row>
    <row r="99" spans="1:6" ht="45" x14ac:dyDescent="0.25">
      <c r="A99" s="52">
        <v>19</v>
      </c>
      <c r="B99" s="63" t="s">
        <v>88</v>
      </c>
      <c r="C99" s="64" t="s">
        <v>63</v>
      </c>
      <c r="D99" s="32">
        <f>(3*8*2+4*7*2)*3.4</f>
        <v>353.59999999999997</v>
      </c>
      <c r="E99" s="65"/>
      <c r="F99" s="16">
        <f t="shared" si="4"/>
        <v>0</v>
      </c>
    </row>
    <row r="100" spans="1:6" ht="45" x14ac:dyDescent="0.25">
      <c r="A100" s="52">
        <v>20</v>
      </c>
      <c r="B100" s="63" t="s">
        <v>89</v>
      </c>
      <c r="C100" s="64" t="s">
        <v>63</v>
      </c>
      <c r="D100" s="32">
        <f>(3*8.3*2.2+7.4*2.3)*4</f>
        <v>287.20000000000005</v>
      </c>
      <c r="E100" s="65"/>
      <c r="F100" s="16">
        <f>D100*E100</f>
        <v>0</v>
      </c>
    </row>
    <row r="101" spans="1:6" ht="75" x14ac:dyDescent="0.25">
      <c r="A101" s="52">
        <v>21</v>
      </c>
      <c r="B101" s="63" t="s">
        <v>176</v>
      </c>
      <c r="C101" s="64" t="s">
        <v>63</v>
      </c>
      <c r="D101" s="59">
        <f>D99</f>
        <v>353.59999999999997</v>
      </c>
      <c r="E101" s="65"/>
      <c r="F101" s="16">
        <f t="shared" si="4"/>
        <v>0</v>
      </c>
    </row>
    <row r="102" spans="1:6" ht="45" x14ac:dyDescent="0.25">
      <c r="A102" s="52">
        <v>22</v>
      </c>
      <c r="B102" s="63" t="s">
        <v>90</v>
      </c>
      <c r="C102" s="52" t="s">
        <v>63</v>
      </c>
      <c r="D102" s="64">
        <f>D100</f>
        <v>287.20000000000005</v>
      </c>
      <c r="E102" s="65"/>
      <c r="F102" s="16">
        <f t="shared" si="4"/>
        <v>0</v>
      </c>
    </row>
    <row r="103" spans="1:6" ht="120" x14ac:dyDescent="0.25">
      <c r="A103" s="52">
        <v>23</v>
      </c>
      <c r="B103" s="66" t="s">
        <v>91</v>
      </c>
      <c r="C103" s="67" t="s">
        <v>64</v>
      </c>
      <c r="D103" s="50">
        <v>3</v>
      </c>
      <c r="E103" s="51"/>
      <c r="F103" s="16">
        <f>E103*D103</f>
        <v>0</v>
      </c>
    </row>
    <row r="104" spans="1:6" ht="180" x14ac:dyDescent="0.25">
      <c r="A104" s="52">
        <v>24</v>
      </c>
      <c r="B104" s="68" t="s">
        <v>92</v>
      </c>
      <c r="C104" s="67" t="s">
        <v>64</v>
      </c>
      <c r="D104" s="52">
        <f>3*5</f>
        <v>15</v>
      </c>
      <c r="E104" s="58"/>
      <c r="F104" s="16">
        <f t="shared" si="4"/>
        <v>0</v>
      </c>
    </row>
    <row r="105" spans="1:6" ht="75" x14ac:dyDescent="0.25">
      <c r="A105" s="52">
        <v>25</v>
      </c>
      <c r="B105" s="69" t="s">
        <v>93</v>
      </c>
      <c r="C105" s="70" t="s">
        <v>64</v>
      </c>
      <c r="D105" s="67">
        <v>2</v>
      </c>
      <c r="E105" s="71"/>
      <c r="F105" s="16">
        <f t="shared" si="4"/>
        <v>0</v>
      </c>
    </row>
    <row r="106" spans="1:6" ht="30" x14ac:dyDescent="0.25">
      <c r="A106" s="52">
        <v>26</v>
      </c>
      <c r="B106" s="69" t="s">
        <v>94</v>
      </c>
      <c r="C106" s="14" t="s">
        <v>95</v>
      </c>
      <c r="D106" s="14">
        <v>3</v>
      </c>
      <c r="E106" s="14"/>
      <c r="F106" s="16">
        <f>D106*E106</f>
        <v>0</v>
      </c>
    </row>
    <row r="107" spans="1:6" x14ac:dyDescent="0.25">
      <c r="A107" s="54"/>
      <c r="B107" s="215" t="s">
        <v>96</v>
      </c>
      <c r="C107" s="216"/>
      <c r="D107" s="216"/>
      <c r="E107" s="217"/>
      <c r="F107" s="55">
        <f>SUM(F80:F106)+F79</f>
        <v>0</v>
      </c>
    </row>
    <row r="108" spans="1:6" x14ac:dyDescent="0.25">
      <c r="B108" s="72"/>
      <c r="C108" s="72"/>
      <c r="D108" s="72"/>
      <c r="E108" s="72"/>
      <c r="F108" s="72"/>
    </row>
    <row r="109" spans="1:6" x14ac:dyDescent="0.25">
      <c r="A109" s="75"/>
      <c r="B109" s="76"/>
      <c r="C109" s="77"/>
      <c r="D109" s="78"/>
      <c r="E109" s="79"/>
      <c r="F109" s="80"/>
    </row>
    <row r="110" spans="1:6" x14ac:dyDescent="0.25">
      <c r="A110" s="7" t="s">
        <v>171</v>
      </c>
      <c r="B110" s="81" t="s">
        <v>97</v>
      </c>
      <c r="C110" s="82"/>
      <c r="D110" s="83"/>
      <c r="E110" s="84"/>
      <c r="F110" s="11"/>
    </row>
    <row r="111" spans="1:6" ht="90" x14ac:dyDescent="0.25">
      <c r="A111" s="52">
        <v>1</v>
      </c>
      <c r="B111" s="85" t="s">
        <v>98</v>
      </c>
      <c r="C111" s="86" t="s">
        <v>49</v>
      </c>
      <c r="D111" s="87">
        <v>1</v>
      </c>
      <c r="E111" s="22"/>
      <c r="F111" s="16">
        <f t="shared" ref="F111" si="5">D111*E111</f>
        <v>0</v>
      </c>
    </row>
    <row r="112" spans="1:6" x14ac:dyDescent="0.25">
      <c r="A112" s="54"/>
      <c r="B112" s="215" t="s">
        <v>99</v>
      </c>
      <c r="C112" s="216"/>
      <c r="D112" s="216"/>
      <c r="E112" s="217"/>
      <c r="F112" s="88">
        <f>SUM(F111)</f>
        <v>0</v>
      </c>
    </row>
    <row r="113" spans="1:6" x14ac:dyDescent="0.25">
      <c r="A113" s="185"/>
      <c r="B113" s="233" t="s">
        <v>172</v>
      </c>
      <c r="C113" s="233"/>
      <c r="D113" s="233"/>
      <c r="E113" s="233"/>
      <c r="F113" s="186"/>
    </row>
    <row r="114" spans="1:6" ht="15.75" x14ac:dyDescent="0.25">
      <c r="A114" s="116" t="s">
        <v>11</v>
      </c>
      <c r="B114" s="224" t="str">
        <f>B63</f>
        <v>Subtotal for two twin latrine</v>
      </c>
      <c r="C114" s="225"/>
      <c r="D114" s="225"/>
      <c r="E114" s="226"/>
      <c r="F114" s="187">
        <f>F63</f>
        <v>0</v>
      </c>
    </row>
    <row r="115" spans="1:6" ht="15.75" x14ac:dyDescent="0.25">
      <c r="A115" s="116" t="s">
        <v>61</v>
      </c>
      <c r="B115" s="234" t="str">
        <f>B76</f>
        <v xml:space="preserve">One Ground Water Tank </v>
      </c>
      <c r="C115" s="225"/>
      <c r="D115" s="225"/>
      <c r="E115" s="226"/>
      <c r="F115" s="187">
        <f>F76</f>
        <v>0</v>
      </c>
    </row>
    <row r="116" spans="1:6" ht="15.75" x14ac:dyDescent="0.25">
      <c r="A116" s="116" t="s">
        <v>66</v>
      </c>
      <c r="B116" s="224" t="str">
        <f>B107</f>
        <v>Subtotal for 3 new classrooms</v>
      </c>
      <c r="C116" s="225"/>
      <c r="D116" s="225"/>
      <c r="E116" s="226"/>
      <c r="F116" s="187">
        <f>F107</f>
        <v>0</v>
      </c>
    </row>
    <row r="117" spans="1:6" ht="15.75" x14ac:dyDescent="0.25">
      <c r="A117" s="116" t="s">
        <v>171</v>
      </c>
      <c r="B117" s="224" t="str">
        <f>B112</f>
        <v xml:space="preserve">Subtotal for visibility </v>
      </c>
      <c r="C117" s="225"/>
      <c r="D117" s="225"/>
      <c r="E117" s="226"/>
      <c r="F117" s="187">
        <f>F112</f>
        <v>0</v>
      </c>
    </row>
    <row r="118" spans="1:6" x14ac:dyDescent="0.25">
      <c r="A118" s="116"/>
      <c r="B118" s="227"/>
      <c r="C118" s="228"/>
      <c r="D118" s="228"/>
      <c r="E118" s="229"/>
      <c r="F118" s="117"/>
    </row>
    <row r="119" spans="1:6" ht="16.5" thickBot="1" x14ac:dyDescent="0.3">
      <c r="A119" s="89"/>
      <c r="B119" s="218" t="s">
        <v>100</v>
      </c>
      <c r="C119" s="219"/>
      <c r="D119" s="219"/>
      <c r="E119" s="220"/>
      <c r="F119" s="90">
        <f>F117+F116+F115+F114</f>
        <v>0</v>
      </c>
    </row>
    <row r="120" spans="1:6" ht="15.75" thickBot="1" x14ac:dyDescent="0.3">
      <c r="A120" s="91"/>
      <c r="B120" s="92"/>
      <c r="C120" s="93"/>
      <c r="D120" s="93"/>
      <c r="E120" s="93"/>
      <c r="F120" s="94"/>
    </row>
    <row r="121" spans="1:6" x14ac:dyDescent="0.25">
      <c r="A121" s="95"/>
      <c r="B121" s="96" t="s">
        <v>101</v>
      </c>
      <c r="C121" s="221"/>
      <c r="D121" s="222"/>
      <c r="E121" s="222"/>
      <c r="F121" s="223"/>
    </row>
    <row r="122" spans="1:6" x14ac:dyDescent="0.25">
      <c r="A122" s="95"/>
      <c r="B122" s="96" t="s">
        <v>102</v>
      </c>
      <c r="C122" s="206"/>
      <c r="D122" s="207"/>
      <c r="E122" s="207"/>
      <c r="F122" s="208"/>
    </row>
    <row r="123" spans="1:6" x14ac:dyDescent="0.25">
      <c r="A123" s="95"/>
      <c r="B123" s="96" t="s">
        <v>103</v>
      </c>
      <c r="C123" s="206"/>
      <c r="D123" s="207"/>
      <c r="E123" s="207"/>
      <c r="F123" s="208"/>
    </row>
    <row r="124" spans="1:6" ht="15.75" thickBot="1" x14ac:dyDescent="0.3">
      <c r="A124" s="95"/>
      <c r="B124" s="96" t="s">
        <v>104</v>
      </c>
      <c r="C124" s="209"/>
      <c r="D124" s="210"/>
      <c r="E124" s="210"/>
      <c r="F124" s="211"/>
    </row>
    <row r="125" spans="1:6" x14ac:dyDescent="0.25">
      <c r="A125" s="91"/>
      <c r="B125" s="92"/>
      <c r="C125" s="93"/>
      <c r="D125" s="93"/>
      <c r="E125" s="93"/>
      <c r="F125" s="94"/>
    </row>
  </sheetData>
  <mergeCells count="19">
    <mergeCell ref="B76:E76"/>
    <mergeCell ref="B113:E113"/>
    <mergeCell ref="B114:E114"/>
    <mergeCell ref="B115:E115"/>
    <mergeCell ref="B1:F1"/>
    <mergeCell ref="B2:F2"/>
    <mergeCell ref="B3:F3"/>
    <mergeCell ref="B62:E62"/>
    <mergeCell ref="B63:E63"/>
    <mergeCell ref="C122:F122"/>
    <mergeCell ref="C123:F124"/>
    <mergeCell ref="A79:F79"/>
    <mergeCell ref="B107:E107"/>
    <mergeCell ref="B112:E112"/>
    <mergeCell ref="B119:E119"/>
    <mergeCell ref="C121:F121"/>
    <mergeCell ref="B116:E116"/>
    <mergeCell ref="B117:E117"/>
    <mergeCell ref="B118:E118"/>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EC15BB-F007-4BF9-835F-1FD85E218701}">
  <dimension ref="A1:F59"/>
  <sheetViews>
    <sheetView view="pageBreakPreview" topLeftCell="A48" zoomScale="87" zoomScaleNormal="100" zoomScaleSheetLayoutView="87" workbookViewId="0">
      <selection activeCell="E45" sqref="E45"/>
    </sheetView>
  </sheetViews>
  <sheetFormatPr defaultRowHeight="15" x14ac:dyDescent="0.25"/>
  <cols>
    <col min="1" max="1" width="11.28515625" customWidth="1"/>
    <col min="2" max="2" width="34.85546875" customWidth="1"/>
    <col min="3" max="3" width="6.5703125" customWidth="1"/>
    <col min="4" max="4" width="10.28515625" customWidth="1"/>
    <col min="5" max="5" width="11.42578125" customWidth="1"/>
    <col min="6" max="6" width="16.140625" customWidth="1"/>
  </cols>
  <sheetData>
    <row r="1" spans="1:6" ht="26.25" customHeight="1" thickBot="1" x14ac:dyDescent="0.45">
      <c r="A1" s="98" t="s">
        <v>0</v>
      </c>
      <c r="B1" s="244" t="s">
        <v>1</v>
      </c>
      <c r="C1" s="245"/>
      <c r="D1" s="245"/>
      <c r="E1" s="245"/>
      <c r="F1" s="246"/>
    </row>
    <row r="2" spans="1:6" ht="20.25" thickBot="1" x14ac:dyDescent="0.45">
      <c r="A2" s="98" t="s">
        <v>2</v>
      </c>
      <c r="B2" s="244" t="s">
        <v>173</v>
      </c>
      <c r="C2" s="245"/>
      <c r="D2" s="245"/>
      <c r="E2" s="245"/>
      <c r="F2" s="246"/>
    </row>
    <row r="3" spans="1:6" ht="20.25" thickBot="1" x14ac:dyDescent="0.45">
      <c r="A3" s="99" t="s">
        <v>4</v>
      </c>
      <c r="B3" s="244" t="s">
        <v>130</v>
      </c>
      <c r="C3" s="245"/>
      <c r="D3" s="245"/>
      <c r="E3" s="245"/>
      <c r="F3" s="246"/>
    </row>
    <row r="4" spans="1:6" ht="18" thickTop="1" x14ac:dyDescent="0.25">
      <c r="A4" s="100" t="s">
        <v>5</v>
      </c>
      <c r="B4" s="101" t="s">
        <v>6</v>
      </c>
      <c r="C4" s="102" t="s">
        <v>7</v>
      </c>
      <c r="D4" s="102" t="s">
        <v>8</v>
      </c>
      <c r="E4" s="102" t="s">
        <v>9</v>
      </c>
      <c r="F4" s="103" t="s">
        <v>10</v>
      </c>
    </row>
    <row r="5" spans="1:6" ht="19.5" x14ac:dyDescent="0.25">
      <c r="A5" s="104" t="s">
        <v>11</v>
      </c>
      <c r="B5" s="105" t="s">
        <v>106</v>
      </c>
      <c r="C5" s="106"/>
      <c r="D5" s="106"/>
      <c r="E5" s="106"/>
      <c r="F5" s="107"/>
    </row>
    <row r="6" spans="1:6" x14ac:dyDescent="0.25">
      <c r="A6" s="212" t="s">
        <v>107</v>
      </c>
      <c r="B6" s="213"/>
      <c r="C6" s="213"/>
      <c r="D6" s="213"/>
      <c r="E6" s="213"/>
      <c r="F6" s="214"/>
    </row>
    <row r="7" spans="1:6" ht="210" x14ac:dyDescent="0.25">
      <c r="A7" s="52">
        <v>1</v>
      </c>
      <c r="B7" s="20" t="s">
        <v>108</v>
      </c>
      <c r="C7" s="14" t="s">
        <v>63</v>
      </c>
      <c r="D7" s="14">
        <f>6*(8*9)*1.5</f>
        <v>648</v>
      </c>
      <c r="E7" s="14"/>
      <c r="F7" s="74">
        <f t="shared" ref="F7:F9" si="0">D7*E7</f>
        <v>0</v>
      </c>
    </row>
    <row r="8" spans="1:6" ht="60" x14ac:dyDescent="0.25">
      <c r="A8" s="49">
        <v>2</v>
      </c>
      <c r="B8" s="20" t="s">
        <v>109</v>
      </c>
      <c r="C8" s="14" t="s">
        <v>63</v>
      </c>
      <c r="D8" s="14">
        <f>6*(8*9)</f>
        <v>432</v>
      </c>
      <c r="E8" s="14"/>
      <c r="F8" s="74">
        <f t="shared" si="0"/>
        <v>0</v>
      </c>
    </row>
    <row r="9" spans="1:6" ht="135" x14ac:dyDescent="0.25">
      <c r="A9" s="52">
        <v>3</v>
      </c>
      <c r="B9" s="20" t="s">
        <v>110</v>
      </c>
      <c r="C9" s="59" t="s">
        <v>62</v>
      </c>
      <c r="D9" s="59">
        <f>8*9*6*0.08</f>
        <v>34.56</v>
      </c>
      <c r="E9" s="59"/>
      <c r="F9" s="108">
        <f t="shared" si="0"/>
        <v>0</v>
      </c>
    </row>
    <row r="10" spans="1:6" ht="63" x14ac:dyDescent="0.25">
      <c r="A10" s="49">
        <v>4</v>
      </c>
      <c r="B10" s="109" t="s">
        <v>111</v>
      </c>
      <c r="C10" s="110" t="s">
        <v>63</v>
      </c>
      <c r="D10" s="110">
        <f>(6*(8*2+7*2)*1.7)*3.4</f>
        <v>1040.3999999999999</v>
      </c>
      <c r="E10" s="110"/>
      <c r="F10" s="74">
        <f>D10*E10</f>
        <v>0</v>
      </c>
    </row>
    <row r="11" spans="1:6" ht="180" x14ac:dyDescent="0.25">
      <c r="A11" s="52">
        <v>5</v>
      </c>
      <c r="B11" s="68" t="s">
        <v>112</v>
      </c>
      <c r="C11" s="14" t="s">
        <v>95</v>
      </c>
      <c r="D11" s="14">
        <f>6*5</f>
        <v>30</v>
      </c>
      <c r="E11" s="14"/>
      <c r="F11" s="74">
        <f>D11*E11</f>
        <v>0</v>
      </c>
    </row>
    <row r="12" spans="1:6" ht="135" x14ac:dyDescent="0.25">
      <c r="A12" s="49">
        <v>6</v>
      </c>
      <c r="B12" s="68" t="s">
        <v>113</v>
      </c>
      <c r="C12" s="14" t="s">
        <v>64</v>
      </c>
      <c r="D12" s="14">
        <v>6</v>
      </c>
      <c r="E12" s="14"/>
      <c r="F12" s="74">
        <f>D12*E12</f>
        <v>0</v>
      </c>
    </row>
    <row r="13" spans="1:6" ht="60" x14ac:dyDescent="0.25">
      <c r="A13" s="52">
        <v>7</v>
      </c>
      <c r="B13" s="68" t="s">
        <v>114</v>
      </c>
      <c r="C13" s="14" t="s">
        <v>65</v>
      </c>
      <c r="D13" s="14">
        <v>1</v>
      </c>
      <c r="E13" s="14"/>
      <c r="F13" s="74">
        <f t="shared" ref="F13:F15" si="1">D13*E13</f>
        <v>0</v>
      </c>
    </row>
    <row r="14" spans="1:6" ht="75" x14ac:dyDescent="0.25">
      <c r="A14" s="49">
        <v>8</v>
      </c>
      <c r="B14" s="69" t="s">
        <v>93</v>
      </c>
      <c r="C14" s="14" t="s">
        <v>95</v>
      </c>
      <c r="D14" s="14">
        <v>2</v>
      </c>
      <c r="E14" s="14"/>
      <c r="F14" s="74">
        <f t="shared" si="1"/>
        <v>0</v>
      </c>
    </row>
    <row r="15" spans="1:6" ht="30" x14ac:dyDescent="0.25">
      <c r="A15" s="49">
        <v>8</v>
      </c>
      <c r="B15" s="69" t="s">
        <v>94</v>
      </c>
      <c r="C15" s="14" t="s">
        <v>95</v>
      </c>
      <c r="D15" s="14">
        <v>6</v>
      </c>
      <c r="E15" s="14"/>
      <c r="F15" s="74">
        <f t="shared" si="1"/>
        <v>0</v>
      </c>
    </row>
    <row r="16" spans="1:6" ht="15.75" x14ac:dyDescent="0.25">
      <c r="A16" s="111"/>
      <c r="B16" s="247" t="s">
        <v>115</v>
      </c>
      <c r="C16" s="248"/>
      <c r="D16" s="248"/>
      <c r="E16" s="249"/>
      <c r="F16" s="112">
        <f>SUM(F6:F15)</f>
        <v>0</v>
      </c>
    </row>
    <row r="17" spans="1:6" x14ac:dyDescent="0.25">
      <c r="A17" s="49"/>
      <c r="B17" s="68"/>
      <c r="C17" s="14"/>
      <c r="D17" s="14"/>
      <c r="E17" s="14"/>
      <c r="F17" s="74"/>
    </row>
    <row r="18" spans="1:6" x14ac:dyDescent="0.25">
      <c r="A18" s="7" t="s">
        <v>61</v>
      </c>
      <c r="B18" s="46" t="s">
        <v>116</v>
      </c>
      <c r="C18" s="47"/>
      <c r="D18" s="47"/>
      <c r="E18" s="47"/>
      <c r="F18" s="73"/>
    </row>
    <row r="19" spans="1:6" ht="30" x14ac:dyDescent="0.25">
      <c r="A19" s="52">
        <v>1</v>
      </c>
      <c r="B19" s="20" t="s">
        <v>117</v>
      </c>
      <c r="C19" s="59" t="s">
        <v>63</v>
      </c>
      <c r="D19" s="59">
        <f>(4*2+2*3)*2.7</f>
        <v>37.800000000000004</v>
      </c>
      <c r="E19" s="59"/>
      <c r="F19" s="74">
        <f t="shared" ref="F19:F24" si="2">D19*E19</f>
        <v>0</v>
      </c>
    </row>
    <row r="20" spans="1:6" ht="45" x14ac:dyDescent="0.25">
      <c r="A20" s="49">
        <v>2</v>
      </c>
      <c r="B20" s="20" t="s">
        <v>118</v>
      </c>
      <c r="C20" s="50" t="s">
        <v>63</v>
      </c>
      <c r="D20" s="50">
        <f>4*(4*2+2*2)*2.7</f>
        <v>129.60000000000002</v>
      </c>
      <c r="E20" s="50"/>
      <c r="F20" s="74">
        <f t="shared" si="2"/>
        <v>0</v>
      </c>
    </row>
    <row r="21" spans="1:6" ht="45" x14ac:dyDescent="0.25">
      <c r="A21" s="52">
        <v>3</v>
      </c>
      <c r="B21" s="20" t="s">
        <v>119</v>
      </c>
      <c r="C21" s="14" t="s">
        <v>63</v>
      </c>
      <c r="D21" s="14">
        <f>4*3*2</f>
        <v>24</v>
      </c>
      <c r="E21" s="14"/>
      <c r="F21" s="74">
        <f t="shared" si="2"/>
        <v>0</v>
      </c>
    </row>
    <row r="22" spans="1:6" ht="45" x14ac:dyDescent="0.25">
      <c r="A22" s="49">
        <v>4</v>
      </c>
      <c r="B22" s="20" t="s">
        <v>120</v>
      </c>
      <c r="C22" s="14" t="s">
        <v>63</v>
      </c>
      <c r="D22" s="14">
        <f>(4*4*2)*1.5</f>
        <v>48</v>
      </c>
      <c r="E22" s="14"/>
      <c r="F22" s="74">
        <f t="shared" si="2"/>
        <v>0</v>
      </c>
    </row>
    <row r="23" spans="1:6" ht="45" x14ac:dyDescent="0.25">
      <c r="A23" s="52">
        <v>5</v>
      </c>
      <c r="B23" s="20" t="s">
        <v>121</v>
      </c>
      <c r="C23" s="14" t="s">
        <v>64</v>
      </c>
      <c r="D23" s="53">
        <v>4</v>
      </c>
      <c r="E23" s="14"/>
      <c r="F23" s="74">
        <f t="shared" si="2"/>
        <v>0</v>
      </c>
    </row>
    <row r="24" spans="1:6" ht="45" x14ac:dyDescent="0.25">
      <c r="A24" s="49">
        <v>6</v>
      </c>
      <c r="B24" s="20" t="s">
        <v>122</v>
      </c>
      <c r="C24" s="14" t="s">
        <v>64</v>
      </c>
      <c r="D24" s="53">
        <v>4</v>
      </c>
      <c r="E24" s="14"/>
      <c r="F24" s="74">
        <f t="shared" si="2"/>
        <v>0</v>
      </c>
    </row>
    <row r="25" spans="1:6" ht="45" x14ac:dyDescent="0.25">
      <c r="A25" s="52">
        <v>7</v>
      </c>
      <c r="B25" s="20" t="s">
        <v>123</v>
      </c>
      <c r="C25" s="14" t="s">
        <v>64</v>
      </c>
      <c r="D25" s="14">
        <v>4</v>
      </c>
      <c r="E25" s="14"/>
      <c r="F25" s="74">
        <f>D25*E25</f>
        <v>0</v>
      </c>
    </row>
    <row r="26" spans="1:6" ht="45" x14ac:dyDescent="0.25">
      <c r="A26" s="49">
        <v>8</v>
      </c>
      <c r="B26" s="20" t="s">
        <v>124</v>
      </c>
      <c r="C26" s="14" t="s">
        <v>64</v>
      </c>
      <c r="D26" s="14">
        <v>4</v>
      </c>
      <c r="E26" s="14"/>
      <c r="F26" s="74">
        <f>D26*E26</f>
        <v>0</v>
      </c>
    </row>
    <row r="27" spans="1:6" ht="45" x14ac:dyDescent="0.25">
      <c r="A27" s="75">
        <v>9</v>
      </c>
      <c r="B27" s="113" t="s">
        <v>125</v>
      </c>
      <c r="C27" s="53" t="s">
        <v>63</v>
      </c>
      <c r="D27" s="14">
        <f>4*(2*2)*1.5</f>
        <v>24</v>
      </c>
      <c r="E27" s="14"/>
      <c r="F27" s="74">
        <f>E27*D27</f>
        <v>0</v>
      </c>
    </row>
    <row r="28" spans="1:6" ht="60" x14ac:dyDescent="0.25">
      <c r="A28" s="114">
        <v>10</v>
      </c>
      <c r="B28" s="115" t="s">
        <v>126</v>
      </c>
      <c r="C28" s="53" t="s">
        <v>127</v>
      </c>
      <c r="D28" s="59">
        <v>1</v>
      </c>
      <c r="E28" s="14"/>
      <c r="F28" s="74">
        <f>E28*D28</f>
        <v>0</v>
      </c>
    </row>
    <row r="29" spans="1:6" x14ac:dyDescent="0.25">
      <c r="A29" s="54"/>
      <c r="B29" s="215" t="s">
        <v>128</v>
      </c>
      <c r="C29" s="216"/>
      <c r="D29" s="216"/>
      <c r="E29" s="217"/>
      <c r="F29" s="55">
        <f>SUM(F19:F28)</f>
        <v>0</v>
      </c>
    </row>
    <row r="30" spans="1:6" x14ac:dyDescent="0.25">
      <c r="A30" s="116"/>
      <c r="B30" s="188"/>
      <c r="C30" s="188"/>
      <c r="D30" s="188"/>
      <c r="E30" s="188"/>
      <c r="F30" s="80"/>
    </row>
    <row r="31" spans="1:6" ht="15.75" x14ac:dyDescent="0.25">
      <c r="A31" s="148" t="s">
        <v>66</v>
      </c>
      <c r="B31" s="149" t="s">
        <v>159</v>
      </c>
      <c r="C31" s="150"/>
      <c r="D31" s="150"/>
      <c r="E31" s="151"/>
      <c r="F31" s="152"/>
    </row>
    <row r="32" spans="1:6" ht="16.5" x14ac:dyDescent="0.25">
      <c r="A32" s="153">
        <v>1</v>
      </c>
      <c r="B32" s="154" t="s">
        <v>160</v>
      </c>
      <c r="C32" s="155"/>
      <c r="D32" s="155"/>
      <c r="E32" s="156"/>
      <c r="F32" s="157"/>
    </row>
    <row r="33" spans="1:6" ht="120" x14ac:dyDescent="0.25">
      <c r="A33" s="158">
        <v>1.1000000000000001</v>
      </c>
      <c r="B33" s="159" t="s">
        <v>161</v>
      </c>
      <c r="C33" s="160"/>
      <c r="D33" s="161">
        <f>(2.5*1.8*1.3)</f>
        <v>5.8500000000000005</v>
      </c>
      <c r="E33" s="162"/>
      <c r="F33" s="162">
        <f>D33*E33</f>
        <v>0</v>
      </c>
    </row>
    <row r="34" spans="1:6" ht="45" x14ac:dyDescent="0.25">
      <c r="A34" s="158">
        <v>1.2</v>
      </c>
      <c r="B34" s="159" t="s">
        <v>162</v>
      </c>
      <c r="C34" s="160"/>
      <c r="D34" s="161">
        <f>(((1.8+1.8+2+2)*1)+(1.8*2))</f>
        <v>11.2</v>
      </c>
      <c r="E34" s="162"/>
      <c r="F34" s="162">
        <f t="shared" ref="F34:F35" si="3">D34*E34</f>
        <v>0</v>
      </c>
    </row>
    <row r="35" spans="1:6" ht="45" x14ac:dyDescent="0.25">
      <c r="A35" s="158">
        <v>1.3</v>
      </c>
      <c r="B35" s="163" t="s">
        <v>163</v>
      </c>
      <c r="C35" s="160"/>
      <c r="D35" s="161">
        <f>D34</f>
        <v>11.2</v>
      </c>
      <c r="E35" s="162"/>
      <c r="F35" s="162">
        <f t="shared" si="3"/>
        <v>0</v>
      </c>
    </row>
    <row r="36" spans="1:6" ht="16.5" x14ac:dyDescent="0.25">
      <c r="A36" s="164">
        <v>2</v>
      </c>
      <c r="B36" s="165" t="s">
        <v>164</v>
      </c>
      <c r="C36" s="166"/>
      <c r="D36" s="166"/>
      <c r="E36" s="167"/>
      <c r="F36" s="168"/>
    </row>
    <row r="37" spans="1:6" ht="135" x14ac:dyDescent="0.25">
      <c r="A37" s="158">
        <v>2.1</v>
      </c>
      <c r="B37" s="163" t="s">
        <v>165</v>
      </c>
      <c r="C37" s="160" t="s">
        <v>64</v>
      </c>
      <c r="D37" s="169">
        <v>1</v>
      </c>
      <c r="E37" s="162"/>
      <c r="F37" s="170">
        <f t="shared" ref="F37:F39" si="4">E37*D37</f>
        <v>0</v>
      </c>
    </row>
    <row r="38" spans="1:6" ht="105" x14ac:dyDescent="0.25">
      <c r="A38" s="158">
        <v>2.2000000000000002</v>
      </c>
      <c r="B38" s="163" t="s">
        <v>166</v>
      </c>
      <c r="C38" s="160" t="s">
        <v>37</v>
      </c>
      <c r="D38" s="169">
        <v>1</v>
      </c>
      <c r="E38" s="162"/>
      <c r="F38" s="170">
        <f t="shared" si="4"/>
        <v>0</v>
      </c>
    </row>
    <row r="39" spans="1:6" ht="120" x14ac:dyDescent="0.25">
      <c r="A39" s="158">
        <v>3.2</v>
      </c>
      <c r="B39" s="163" t="s">
        <v>167</v>
      </c>
      <c r="C39" s="160" t="s">
        <v>37</v>
      </c>
      <c r="D39" s="169">
        <v>1</v>
      </c>
      <c r="E39" s="162"/>
      <c r="F39" s="170">
        <f t="shared" si="4"/>
        <v>0</v>
      </c>
    </row>
    <row r="40" spans="1:6" x14ac:dyDescent="0.25">
      <c r="A40" s="171">
        <v>3</v>
      </c>
      <c r="B40" s="172" t="s">
        <v>168</v>
      </c>
      <c r="C40" s="173"/>
      <c r="D40" s="174"/>
      <c r="E40" s="175"/>
      <c r="F40" s="176"/>
    </row>
    <row r="41" spans="1:6" ht="60" x14ac:dyDescent="0.25">
      <c r="A41" s="177">
        <v>1.1000000000000001</v>
      </c>
      <c r="B41" s="178" t="s">
        <v>169</v>
      </c>
      <c r="C41" s="179" t="s">
        <v>170</v>
      </c>
      <c r="D41" s="180">
        <v>60</v>
      </c>
      <c r="E41" s="181"/>
      <c r="F41" s="182">
        <f t="shared" ref="F41" si="5">E41*D41</f>
        <v>0</v>
      </c>
    </row>
    <row r="42" spans="1:6" ht="16.5" x14ac:dyDescent="0.25">
      <c r="A42" s="183"/>
      <c r="B42" s="230" t="str">
        <f>B31</f>
        <v xml:space="preserve">One Ground Water Tank </v>
      </c>
      <c r="C42" s="231"/>
      <c r="D42" s="231"/>
      <c r="E42" s="232"/>
      <c r="F42" s="184">
        <f>SUM(F33:F41)</f>
        <v>0</v>
      </c>
    </row>
    <row r="43" spans="1:6" x14ac:dyDescent="0.25">
      <c r="A43" s="75"/>
      <c r="B43" s="115"/>
      <c r="C43" s="79"/>
      <c r="D43" s="79"/>
      <c r="E43" s="79"/>
      <c r="F43" s="189"/>
    </row>
    <row r="44" spans="1:6" x14ac:dyDescent="0.25">
      <c r="A44" s="7" t="s">
        <v>129</v>
      </c>
      <c r="B44" s="118" t="s">
        <v>97</v>
      </c>
      <c r="C44" s="119"/>
      <c r="D44" s="120"/>
      <c r="E44" s="84"/>
      <c r="F44" s="11"/>
    </row>
    <row r="45" spans="1:6" ht="90" x14ac:dyDescent="0.25">
      <c r="A45" s="52">
        <v>1</v>
      </c>
      <c r="B45" s="121" t="s">
        <v>98</v>
      </c>
      <c r="C45" s="122" t="s">
        <v>49</v>
      </c>
      <c r="D45" s="123">
        <v>1</v>
      </c>
      <c r="E45" s="22"/>
      <c r="F45" s="16">
        <f t="shared" ref="F45" si="6">D45*E45</f>
        <v>0</v>
      </c>
    </row>
    <row r="46" spans="1:6" x14ac:dyDescent="0.25">
      <c r="A46" s="54"/>
      <c r="B46" s="215" t="s">
        <v>99</v>
      </c>
      <c r="C46" s="216"/>
      <c r="D46" s="216"/>
      <c r="E46" s="217"/>
      <c r="F46" s="88">
        <f>SUM(F45)</f>
        <v>0</v>
      </c>
    </row>
    <row r="47" spans="1:6" x14ac:dyDescent="0.25">
      <c r="A47" s="185"/>
      <c r="B47" s="233" t="s">
        <v>172</v>
      </c>
      <c r="C47" s="233"/>
      <c r="D47" s="233"/>
      <c r="E47" s="233"/>
      <c r="F47" s="186"/>
    </row>
    <row r="48" spans="1:6" ht="15.75" x14ac:dyDescent="0.25">
      <c r="A48" s="190" t="s">
        <v>11</v>
      </c>
      <c r="B48" s="224" t="str">
        <f>B16</f>
        <v>Subtotal for 6 classrooms rehab</v>
      </c>
      <c r="C48" s="225"/>
      <c r="D48" s="225"/>
      <c r="E48" s="226"/>
      <c r="F48" s="187">
        <f>F16</f>
        <v>0</v>
      </c>
    </row>
    <row r="49" spans="1:6" ht="15.75" x14ac:dyDescent="0.25">
      <c r="A49" s="190" t="s">
        <v>61</v>
      </c>
      <c r="B49" s="224" t="str">
        <f>B29</f>
        <v>Subtotal for 4 Wash facilities rehab</v>
      </c>
      <c r="C49" s="225"/>
      <c r="D49" s="225"/>
      <c r="E49" s="226"/>
      <c r="F49" s="187">
        <f>F29</f>
        <v>0</v>
      </c>
    </row>
    <row r="50" spans="1:6" ht="15.75" x14ac:dyDescent="0.25">
      <c r="A50" s="190" t="s">
        <v>66</v>
      </c>
      <c r="B50" s="234" t="str">
        <f>B42</f>
        <v xml:space="preserve">One Ground Water Tank </v>
      </c>
      <c r="C50" s="225"/>
      <c r="D50" s="225"/>
      <c r="E50" s="226"/>
      <c r="F50" s="187">
        <f>F42</f>
        <v>0</v>
      </c>
    </row>
    <row r="51" spans="1:6" ht="15.75" x14ac:dyDescent="0.25">
      <c r="A51" s="190" t="s">
        <v>171</v>
      </c>
      <c r="B51" s="192" t="str">
        <f>B46</f>
        <v xml:space="preserve">Subtotal for visibility </v>
      </c>
      <c r="C51" s="193"/>
      <c r="D51" s="193"/>
      <c r="E51" s="194"/>
      <c r="F51" s="187">
        <f>F46</f>
        <v>0</v>
      </c>
    </row>
    <row r="52" spans="1:6" ht="15.75" x14ac:dyDescent="0.25">
      <c r="A52" s="75"/>
      <c r="B52" s="250"/>
      <c r="C52" s="251"/>
      <c r="D52" s="251"/>
      <c r="E52" s="252"/>
      <c r="F52" s="191"/>
    </row>
    <row r="53" spans="1:6" ht="16.5" thickBot="1" x14ac:dyDescent="0.3">
      <c r="A53" s="89"/>
      <c r="B53" s="241" t="s">
        <v>100</v>
      </c>
      <c r="C53" s="242"/>
      <c r="D53" s="242"/>
      <c r="E53" s="243"/>
      <c r="F53" s="195">
        <f>F51+F50+F49+F48</f>
        <v>0</v>
      </c>
    </row>
    <row r="54" spans="1:6" ht="15.75" thickBot="1" x14ac:dyDescent="0.3">
      <c r="A54" s="91"/>
      <c r="B54" s="92"/>
      <c r="C54" s="93"/>
      <c r="D54" s="93"/>
      <c r="E54" s="93"/>
      <c r="F54" s="94"/>
    </row>
    <row r="55" spans="1:6" x14ac:dyDescent="0.25">
      <c r="A55" s="95"/>
      <c r="B55" s="96" t="s">
        <v>101</v>
      </c>
      <c r="C55" s="221"/>
      <c r="D55" s="222"/>
      <c r="E55" s="222"/>
      <c r="F55" s="223"/>
    </row>
    <row r="56" spans="1:6" x14ac:dyDescent="0.25">
      <c r="A56" s="95"/>
      <c r="B56" s="96" t="s">
        <v>102</v>
      </c>
      <c r="C56" s="206"/>
      <c r="D56" s="207"/>
      <c r="E56" s="207"/>
      <c r="F56" s="208"/>
    </row>
    <row r="57" spans="1:6" x14ac:dyDescent="0.25">
      <c r="A57" s="95"/>
      <c r="B57" s="96" t="s">
        <v>103</v>
      </c>
      <c r="C57" s="206"/>
      <c r="D57" s="207"/>
      <c r="E57" s="207"/>
      <c r="F57" s="208"/>
    </row>
    <row r="58" spans="1:6" ht="15.75" thickBot="1" x14ac:dyDescent="0.3">
      <c r="A58" s="95"/>
      <c r="B58" s="96" t="s">
        <v>104</v>
      </c>
      <c r="C58" s="209"/>
      <c r="D58" s="210"/>
      <c r="E58" s="210"/>
      <c r="F58" s="211"/>
    </row>
    <row r="59" spans="1:6" x14ac:dyDescent="0.25">
      <c r="A59" s="91"/>
      <c r="B59" s="92"/>
      <c r="C59" s="93"/>
      <c r="D59" s="93"/>
      <c r="E59" s="93"/>
      <c r="F59" s="94"/>
    </row>
  </sheetData>
  <mergeCells count="17">
    <mergeCell ref="B46:E46"/>
    <mergeCell ref="B53:E53"/>
    <mergeCell ref="C55:F55"/>
    <mergeCell ref="C56:F56"/>
    <mergeCell ref="C57:F58"/>
    <mergeCell ref="B1:F1"/>
    <mergeCell ref="B2:F2"/>
    <mergeCell ref="B3:F3"/>
    <mergeCell ref="A6:F6"/>
    <mergeCell ref="B16:E16"/>
    <mergeCell ref="B29:E29"/>
    <mergeCell ref="B42:E42"/>
    <mergeCell ref="B52:E52"/>
    <mergeCell ref="B47:E47"/>
    <mergeCell ref="B48:E48"/>
    <mergeCell ref="B49:E49"/>
    <mergeCell ref="B50:E50"/>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100C1-5E1D-46C2-8DD7-A22CD8B37183}">
  <dimension ref="A1:F125"/>
  <sheetViews>
    <sheetView tabSelected="1" view="pageBreakPreview" topLeftCell="A98" zoomScale="93" zoomScaleNormal="100" zoomScaleSheetLayoutView="93" workbookViewId="0">
      <selection activeCell="C103" sqref="C103"/>
    </sheetView>
  </sheetViews>
  <sheetFormatPr defaultRowHeight="15" x14ac:dyDescent="0.25"/>
  <cols>
    <col min="1" max="1" width="11.28515625" customWidth="1"/>
    <col min="2" max="2" width="36" customWidth="1"/>
    <col min="3" max="3" width="6.5703125" customWidth="1"/>
    <col min="4" max="4" width="10.28515625" customWidth="1"/>
    <col min="5" max="5" width="11.42578125" customWidth="1"/>
    <col min="6" max="6" width="16.140625" customWidth="1"/>
  </cols>
  <sheetData>
    <row r="1" spans="1:6" ht="27.75" customHeight="1" thickBot="1" x14ac:dyDescent="0.3">
      <c r="A1" s="1" t="s">
        <v>0</v>
      </c>
      <c r="B1" s="235" t="s">
        <v>1</v>
      </c>
      <c r="C1" s="236"/>
      <c r="D1" s="236"/>
      <c r="E1" s="236"/>
      <c r="F1" s="237"/>
    </row>
    <row r="2" spans="1:6" ht="16.5" thickBot="1" x14ac:dyDescent="0.3">
      <c r="A2" s="1" t="s">
        <v>2</v>
      </c>
      <c r="B2" s="235" t="s">
        <v>174</v>
      </c>
      <c r="C2" s="236"/>
      <c r="D2" s="236"/>
      <c r="E2" s="236"/>
      <c r="F2" s="237"/>
    </row>
    <row r="3" spans="1:6" ht="16.5" thickBot="1" x14ac:dyDescent="0.3">
      <c r="A3" s="2" t="s">
        <v>4</v>
      </c>
      <c r="B3" s="235" t="s">
        <v>175</v>
      </c>
      <c r="C3" s="236"/>
      <c r="D3" s="236"/>
      <c r="E3" s="236"/>
      <c r="F3" s="237"/>
    </row>
    <row r="4" spans="1:6" ht="15.75" thickTop="1" x14ac:dyDescent="0.25">
      <c r="A4" s="3" t="s">
        <v>5</v>
      </c>
      <c r="B4" s="4" t="s">
        <v>6</v>
      </c>
      <c r="C4" s="5" t="s">
        <v>7</v>
      </c>
      <c r="D4" s="5" t="s">
        <v>8</v>
      </c>
      <c r="E4" s="5" t="s">
        <v>9</v>
      </c>
      <c r="F4" s="6" t="s">
        <v>10</v>
      </c>
    </row>
    <row r="5" spans="1:6" x14ac:dyDescent="0.25">
      <c r="A5" s="7" t="s">
        <v>11</v>
      </c>
      <c r="B5" s="8" t="s">
        <v>152</v>
      </c>
      <c r="C5" s="9"/>
      <c r="D5" s="9"/>
      <c r="E5" s="10"/>
      <c r="F5" s="11"/>
    </row>
    <row r="6" spans="1:6" x14ac:dyDescent="0.25">
      <c r="A6" s="12"/>
      <c r="B6" s="13" t="s">
        <v>12</v>
      </c>
      <c r="C6" s="14"/>
      <c r="D6" s="14"/>
      <c r="E6" s="15"/>
      <c r="F6" s="16"/>
    </row>
    <row r="7" spans="1:6" x14ac:dyDescent="0.25">
      <c r="A7" s="12"/>
      <c r="B7" s="17" t="s">
        <v>13</v>
      </c>
      <c r="C7" s="14"/>
      <c r="D7" s="14"/>
      <c r="E7" s="15"/>
      <c r="F7" s="16"/>
    </row>
    <row r="8" spans="1:6" ht="60" x14ac:dyDescent="0.25">
      <c r="A8" s="14">
        <v>1</v>
      </c>
      <c r="B8" s="18" t="s">
        <v>14</v>
      </c>
      <c r="C8" s="19" t="s">
        <v>15</v>
      </c>
      <c r="D8" s="14">
        <f>7.4*4.2</f>
        <v>31.080000000000002</v>
      </c>
      <c r="E8" s="15"/>
      <c r="F8" s="16">
        <f t="shared" ref="F8:F61" si="0">D8*E8</f>
        <v>0</v>
      </c>
    </row>
    <row r="9" spans="1:6" ht="45" x14ac:dyDescent="0.25">
      <c r="A9" s="14">
        <v>2</v>
      </c>
      <c r="B9" s="20" t="s">
        <v>16</v>
      </c>
      <c r="C9" s="14" t="s">
        <v>17</v>
      </c>
      <c r="D9" s="15">
        <f>2*3*5</f>
        <v>30</v>
      </c>
      <c r="E9" s="21"/>
      <c r="F9" s="16">
        <f t="shared" si="0"/>
        <v>0</v>
      </c>
    </row>
    <row r="10" spans="1:6" ht="45" x14ac:dyDescent="0.25">
      <c r="A10" s="14">
        <v>3</v>
      </c>
      <c r="B10" s="20" t="s">
        <v>18</v>
      </c>
      <c r="C10" s="14" t="s">
        <v>17</v>
      </c>
      <c r="D10" s="22">
        <f>10*0.15</f>
        <v>1.5</v>
      </c>
      <c r="E10" s="15"/>
      <c r="F10" s="16">
        <f t="shared" si="0"/>
        <v>0</v>
      </c>
    </row>
    <row r="11" spans="1:6" ht="75" x14ac:dyDescent="0.25">
      <c r="A11" s="14">
        <v>4</v>
      </c>
      <c r="B11" s="20" t="s">
        <v>19</v>
      </c>
      <c r="C11" s="14" t="s">
        <v>17</v>
      </c>
      <c r="D11" s="22">
        <f>28.5*0.4*0.3</f>
        <v>3.42</v>
      </c>
      <c r="E11" s="15"/>
      <c r="F11" s="16">
        <f t="shared" si="0"/>
        <v>0</v>
      </c>
    </row>
    <row r="12" spans="1:6" ht="60" x14ac:dyDescent="0.25">
      <c r="A12" s="14">
        <v>5</v>
      </c>
      <c r="B12" s="20" t="s">
        <v>20</v>
      </c>
      <c r="C12" s="14" t="s">
        <v>17</v>
      </c>
      <c r="D12" s="22">
        <f>25.8*0.4*0.05</f>
        <v>0.51600000000000001</v>
      </c>
      <c r="E12" s="15"/>
      <c r="F12" s="16">
        <f t="shared" si="0"/>
        <v>0</v>
      </c>
    </row>
    <row r="13" spans="1:6" ht="105" x14ac:dyDescent="0.25">
      <c r="A13" s="14">
        <v>6</v>
      </c>
      <c r="B13" s="20" t="s">
        <v>21</v>
      </c>
      <c r="C13" s="14" t="s">
        <v>17</v>
      </c>
      <c r="D13" s="23">
        <f>25.8*0.6*0.4</f>
        <v>6.1920000000000002</v>
      </c>
      <c r="E13" s="15"/>
      <c r="F13" s="16">
        <f t="shared" si="0"/>
        <v>0</v>
      </c>
    </row>
    <row r="14" spans="1:6" x14ac:dyDescent="0.25">
      <c r="A14" s="12"/>
      <c r="B14" s="17" t="s">
        <v>22</v>
      </c>
      <c r="C14" s="24"/>
      <c r="D14" s="97"/>
      <c r="E14" s="22"/>
      <c r="F14" s="16"/>
    </row>
    <row r="15" spans="1:6" ht="105" x14ac:dyDescent="0.25">
      <c r="A15" s="14">
        <v>7</v>
      </c>
      <c r="B15" s="20" t="s">
        <v>23</v>
      </c>
      <c r="C15" s="14" t="s">
        <v>17</v>
      </c>
      <c r="D15" s="23">
        <f>0.4*25.8*0.15</f>
        <v>1.548</v>
      </c>
      <c r="E15" s="23"/>
      <c r="F15" s="16">
        <f t="shared" si="0"/>
        <v>0</v>
      </c>
    </row>
    <row r="16" spans="1:6" ht="135" x14ac:dyDescent="0.25">
      <c r="A16" s="14">
        <v>8</v>
      </c>
      <c r="B16" s="20" t="s">
        <v>153</v>
      </c>
      <c r="C16" s="14" t="s">
        <v>17</v>
      </c>
      <c r="D16" s="23">
        <f>3.8*2.8*0.15</f>
        <v>1.5959999999999999</v>
      </c>
      <c r="E16" s="23"/>
      <c r="F16" s="16">
        <f t="shared" si="0"/>
        <v>0</v>
      </c>
    </row>
    <row r="17" spans="1:6" x14ac:dyDescent="0.25">
      <c r="A17" s="12"/>
      <c r="B17" s="17" t="s">
        <v>24</v>
      </c>
      <c r="C17" s="14"/>
      <c r="D17" s="24"/>
      <c r="E17" s="23"/>
      <c r="F17" s="16"/>
    </row>
    <row r="18" spans="1:6" ht="60" x14ac:dyDescent="0.25">
      <c r="A18" s="14">
        <v>9</v>
      </c>
      <c r="B18" s="20" t="s">
        <v>25</v>
      </c>
      <c r="C18" s="14" t="s">
        <v>17</v>
      </c>
      <c r="D18" s="15">
        <f>25.8*0.2</f>
        <v>5.16</v>
      </c>
      <c r="E18" s="23"/>
      <c r="F18" s="16">
        <f t="shared" si="0"/>
        <v>0</v>
      </c>
    </row>
    <row r="19" spans="1:6" ht="45" x14ac:dyDescent="0.25">
      <c r="A19" s="14">
        <v>10</v>
      </c>
      <c r="B19" s="20" t="s">
        <v>26</v>
      </c>
      <c r="C19" s="14" t="s">
        <v>17</v>
      </c>
      <c r="D19" s="25">
        <f>D18</f>
        <v>5.16</v>
      </c>
      <c r="E19" s="23"/>
      <c r="F19" s="16">
        <f t="shared" si="0"/>
        <v>0</v>
      </c>
    </row>
    <row r="20" spans="1:6" x14ac:dyDescent="0.25">
      <c r="A20" s="14"/>
      <c r="B20" s="26" t="s">
        <v>27</v>
      </c>
      <c r="C20" s="14"/>
      <c r="D20" s="27"/>
      <c r="E20" s="23"/>
      <c r="F20" s="16"/>
    </row>
    <row r="21" spans="1:6" ht="60" x14ac:dyDescent="0.25">
      <c r="A21" s="14">
        <v>11</v>
      </c>
      <c r="B21" s="20" t="s">
        <v>28</v>
      </c>
      <c r="C21" s="14" t="s">
        <v>17</v>
      </c>
      <c r="D21" s="27">
        <f>6.3*4.2*0.05</f>
        <v>1.3230000000000002</v>
      </c>
      <c r="E21" s="23"/>
      <c r="F21" s="16">
        <f t="shared" si="0"/>
        <v>0</v>
      </c>
    </row>
    <row r="22" spans="1:6" ht="45" x14ac:dyDescent="0.25">
      <c r="A22" s="14">
        <v>12</v>
      </c>
      <c r="B22" s="28" t="s">
        <v>29</v>
      </c>
      <c r="C22" s="19" t="s">
        <v>15</v>
      </c>
      <c r="D22" s="97">
        <f>2*2*2</f>
        <v>8</v>
      </c>
      <c r="E22" s="23"/>
      <c r="F22" s="16">
        <f t="shared" si="0"/>
        <v>0</v>
      </c>
    </row>
    <row r="23" spans="1:6" ht="75" x14ac:dyDescent="0.25">
      <c r="A23" s="14">
        <v>13</v>
      </c>
      <c r="B23" s="28" t="s">
        <v>30</v>
      </c>
      <c r="C23" s="19" t="s">
        <v>15</v>
      </c>
      <c r="D23" s="97">
        <v>34.200000000000003</v>
      </c>
      <c r="E23" s="23"/>
      <c r="F23" s="16">
        <f t="shared" si="0"/>
        <v>0</v>
      </c>
    </row>
    <row r="24" spans="1:6" x14ac:dyDescent="0.25">
      <c r="A24" s="29"/>
      <c r="B24" s="20"/>
      <c r="C24" s="97"/>
      <c r="D24" s="30"/>
      <c r="E24" s="23"/>
      <c r="F24" s="16"/>
    </row>
    <row r="25" spans="1:6" x14ac:dyDescent="0.25">
      <c r="A25" s="29"/>
      <c r="B25" s="31" t="s">
        <v>12</v>
      </c>
      <c r="C25" s="97"/>
      <c r="D25" s="97"/>
      <c r="E25" s="23"/>
      <c r="F25" s="16"/>
    </row>
    <row r="26" spans="1:6" x14ac:dyDescent="0.25">
      <c r="A26" s="32"/>
      <c r="B26" s="33" t="s">
        <v>31</v>
      </c>
      <c r="C26" s="34"/>
      <c r="D26" s="34"/>
      <c r="E26" s="21"/>
      <c r="F26" s="16"/>
    </row>
    <row r="27" spans="1:6" ht="75" x14ac:dyDescent="0.25">
      <c r="A27" s="32">
        <v>14</v>
      </c>
      <c r="B27" s="28" t="s">
        <v>32</v>
      </c>
      <c r="C27" s="19" t="s">
        <v>15</v>
      </c>
      <c r="D27" s="97">
        <f>25.8*2.9</f>
        <v>74.819999999999993</v>
      </c>
      <c r="E27" s="23"/>
      <c r="F27" s="16">
        <f t="shared" si="0"/>
        <v>0</v>
      </c>
    </row>
    <row r="28" spans="1:6" x14ac:dyDescent="0.25">
      <c r="A28" s="32"/>
      <c r="B28" s="33" t="s">
        <v>33</v>
      </c>
      <c r="C28" s="34"/>
      <c r="D28" s="34"/>
      <c r="E28" s="22"/>
      <c r="F28" s="16"/>
    </row>
    <row r="29" spans="1:6" ht="120" x14ac:dyDescent="0.25">
      <c r="A29" s="35">
        <v>15</v>
      </c>
      <c r="B29" s="28" t="s">
        <v>34</v>
      </c>
      <c r="C29" s="14" t="s">
        <v>17</v>
      </c>
      <c r="D29" s="23">
        <f>25.8*0.15*0.15</f>
        <v>0.58050000000000002</v>
      </c>
      <c r="E29" s="23"/>
      <c r="F29" s="16">
        <f t="shared" si="0"/>
        <v>0</v>
      </c>
    </row>
    <row r="30" spans="1:6" x14ac:dyDescent="0.25">
      <c r="A30" s="36"/>
      <c r="B30" s="26" t="s">
        <v>35</v>
      </c>
      <c r="C30" s="34"/>
      <c r="D30" s="34"/>
      <c r="E30" s="23"/>
      <c r="F30" s="16"/>
    </row>
    <row r="31" spans="1:6" ht="60" x14ac:dyDescent="0.25">
      <c r="A31" s="36">
        <v>16</v>
      </c>
      <c r="B31" s="28" t="s">
        <v>36</v>
      </c>
      <c r="C31" s="14" t="s">
        <v>37</v>
      </c>
      <c r="D31" s="23">
        <v>1</v>
      </c>
      <c r="E31" s="23"/>
      <c r="F31" s="16">
        <f t="shared" si="0"/>
        <v>0</v>
      </c>
    </row>
    <row r="32" spans="1:6" ht="60" x14ac:dyDescent="0.25">
      <c r="A32" s="36">
        <v>17</v>
      </c>
      <c r="B32" s="28" t="s">
        <v>38</v>
      </c>
      <c r="C32" s="14" t="s">
        <v>37</v>
      </c>
      <c r="D32" s="23">
        <v>1</v>
      </c>
      <c r="E32" s="23"/>
      <c r="F32" s="16">
        <f t="shared" si="0"/>
        <v>0</v>
      </c>
    </row>
    <row r="33" spans="1:6" ht="45" x14ac:dyDescent="0.25">
      <c r="A33" s="36">
        <v>18</v>
      </c>
      <c r="B33" s="37" t="s">
        <v>39</v>
      </c>
      <c r="C33" s="97" t="s">
        <v>37</v>
      </c>
      <c r="D33" s="23">
        <v>1</v>
      </c>
      <c r="E33" s="23"/>
      <c r="F33" s="16">
        <f t="shared" si="0"/>
        <v>0</v>
      </c>
    </row>
    <row r="34" spans="1:6" x14ac:dyDescent="0.25">
      <c r="A34" s="38"/>
      <c r="B34" s="34"/>
      <c r="C34" s="34"/>
      <c r="D34" s="34"/>
      <c r="E34" s="23"/>
      <c r="F34" s="16"/>
    </row>
    <row r="35" spans="1:6" x14ac:dyDescent="0.25">
      <c r="A35" s="38"/>
      <c r="B35" s="31" t="s">
        <v>40</v>
      </c>
      <c r="C35" s="34"/>
      <c r="D35" s="34"/>
      <c r="E35" s="23"/>
      <c r="F35" s="16"/>
    </row>
    <row r="36" spans="1:6" ht="180" x14ac:dyDescent="0.25">
      <c r="A36" s="36">
        <v>19</v>
      </c>
      <c r="B36" s="28" t="s">
        <v>154</v>
      </c>
      <c r="C36" s="19" t="s">
        <v>15</v>
      </c>
      <c r="D36" s="23">
        <f>(4.6*2*1.5)</f>
        <v>13.799999999999999</v>
      </c>
      <c r="E36" s="23"/>
      <c r="F36" s="16">
        <f t="shared" si="0"/>
        <v>0</v>
      </c>
    </row>
    <row r="37" spans="1:6" ht="60" x14ac:dyDescent="0.25">
      <c r="A37" s="36">
        <v>20</v>
      </c>
      <c r="B37" s="28" t="s">
        <v>86</v>
      </c>
      <c r="C37" s="19" t="s">
        <v>15</v>
      </c>
      <c r="D37" s="23">
        <f>4.6*2</f>
        <v>9.1999999999999993</v>
      </c>
      <c r="E37" s="23"/>
      <c r="F37" s="16">
        <f>E37*D37</f>
        <v>0</v>
      </c>
    </row>
    <row r="38" spans="1:6" x14ac:dyDescent="0.25">
      <c r="A38" s="36">
        <v>20</v>
      </c>
      <c r="B38" s="34" t="s">
        <v>41</v>
      </c>
      <c r="C38" s="97" t="s">
        <v>15</v>
      </c>
      <c r="D38" s="23">
        <v>14.8</v>
      </c>
      <c r="E38" s="23"/>
      <c r="F38" s="16">
        <f t="shared" si="0"/>
        <v>0</v>
      </c>
    </row>
    <row r="39" spans="1:6" x14ac:dyDescent="0.25">
      <c r="A39" s="38"/>
      <c r="B39" s="34"/>
      <c r="C39" s="34"/>
      <c r="D39" s="34"/>
      <c r="E39" s="23"/>
      <c r="F39" s="16"/>
    </row>
    <row r="40" spans="1:6" x14ac:dyDescent="0.25">
      <c r="A40" s="38"/>
      <c r="B40" s="31" t="s">
        <v>42</v>
      </c>
      <c r="C40" s="34"/>
      <c r="D40" s="34"/>
      <c r="E40" s="23"/>
      <c r="F40" s="16"/>
    </row>
    <row r="41" spans="1:6" ht="45" x14ac:dyDescent="0.25">
      <c r="A41" s="36">
        <v>21</v>
      </c>
      <c r="B41" s="37" t="s">
        <v>43</v>
      </c>
      <c r="C41" s="19" t="s">
        <v>15</v>
      </c>
      <c r="D41" s="97">
        <f>50.8*2.9</f>
        <v>147.32</v>
      </c>
      <c r="E41" s="23"/>
      <c r="F41" s="16">
        <f t="shared" si="0"/>
        <v>0</v>
      </c>
    </row>
    <row r="42" spans="1:6" ht="45" x14ac:dyDescent="0.25">
      <c r="A42" s="36">
        <v>22</v>
      </c>
      <c r="B42" s="37" t="s">
        <v>44</v>
      </c>
      <c r="C42" s="19" t="s">
        <v>15</v>
      </c>
      <c r="D42" s="97">
        <f>D41</f>
        <v>147.32</v>
      </c>
      <c r="E42" s="23"/>
      <c r="F42" s="16">
        <f t="shared" si="0"/>
        <v>0</v>
      </c>
    </row>
    <row r="43" spans="1:6" ht="60" x14ac:dyDescent="0.25">
      <c r="A43" s="36">
        <v>23</v>
      </c>
      <c r="B43" s="37" t="s">
        <v>45</v>
      </c>
      <c r="C43" s="19" t="s">
        <v>15</v>
      </c>
      <c r="D43" s="97">
        <f>D42</f>
        <v>147.32</v>
      </c>
      <c r="E43" s="23"/>
      <c r="F43" s="16">
        <f t="shared" si="0"/>
        <v>0</v>
      </c>
    </row>
    <row r="44" spans="1:6" x14ac:dyDescent="0.25">
      <c r="A44" s="38"/>
      <c r="B44" s="34"/>
      <c r="C44" s="34"/>
      <c r="D44" s="34"/>
      <c r="E44" s="23"/>
      <c r="F44" s="16"/>
    </row>
    <row r="45" spans="1:6" x14ac:dyDescent="0.25">
      <c r="A45" s="39"/>
      <c r="B45" s="31" t="s">
        <v>46</v>
      </c>
      <c r="C45" s="34"/>
      <c r="D45" s="34"/>
      <c r="E45" s="23"/>
      <c r="F45" s="16"/>
    </row>
    <row r="46" spans="1:6" x14ac:dyDescent="0.25">
      <c r="A46" s="36"/>
      <c r="B46" s="33" t="s">
        <v>47</v>
      </c>
      <c r="C46" s="34"/>
      <c r="D46" s="34"/>
      <c r="E46" s="23"/>
      <c r="F46" s="16"/>
    </row>
    <row r="47" spans="1:6" ht="60" x14ac:dyDescent="0.25">
      <c r="A47" s="36">
        <v>24</v>
      </c>
      <c r="B47" s="37" t="s">
        <v>48</v>
      </c>
      <c r="C47" s="97" t="s">
        <v>49</v>
      </c>
      <c r="D47" s="23">
        <v>2</v>
      </c>
      <c r="E47" s="23"/>
      <c r="F47" s="16">
        <f t="shared" si="0"/>
        <v>0</v>
      </c>
    </row>
    <row r="48" spans="1:6" x14ac:dyDescent="0.25">
      <c r="A48" s="38"/>
      <c r="B48" s="33" t="s">
        <v>50</v>
      </c>
      <c r="C48" s="34"/>
      <c r="D48" s="34"/>
      <c r="E48" s="23"/>
      <c r="F48" s="16"/>
    </row>
    <row r="49" spans="1:6" ht="60" x14ac:dyDescent="0.25">
      <c r="A49" s="36">
        <v>25</v>
      </c>
      <c r="B49" s="28" t="s">
        <v>51</v>
      </c>
      <c r="C49" s="97" t="s">
        <v>49</v>
      </c>
      <c r="D49" s="23">
        <v>3</v>
      </c>
      <c r="E49" s="23"/>
      <c r="F49" s="16">
        <f t="shared" si="0"/>
        <v>0</v>
      </c>
    </row>
    <row r="50" spans="1:6" x14ac:dyDescent="0.25">
      <c r="A50" s="36"/>
      <c r="B50" s="28"/>
      <c r="C50" s="97"/>
      <c r="D50" s="23"/>
      <c r="E50" s="23"/>
      <c r="F50" s="16"/>
    </row>
    <row r="51" spans="1:6" x14ac:dyDescent="0.25">
      <c r="A51" s="36"/>
      <c r="B51" s="31" t="s">
        <v>52</v>
      </c>
      <c r="C51" s="34"/>
      <c r="D51" s="34"/>
      <c r="E51" s="23"/>
      <c r="F51" s="16"/>
    </row>
    <row r="52" spans="1:6" x14ac:dyDescent="0.25">
      <c r="A52" s="36"/>
      <c r="B52" s="33" t="s">
        <v>53</v>
      </c>
      <c r="C52" s="34"/>
      <c r="D52" s="34"/>
      <c r="E52" s="23"/>
      <c r="F52" s="16"/>
    </row>
    <row r="53" spans="1:6" ht="30" x14ac:dyDescent="0.25">
      <c r="A53" s="36">
        <v>26</v>
      </c>
      <c r="B53" s="40" t="s">
        <v>54</v>
      </c>
      <c r="C53" s="97" t="s">
        <v>49</v>
      </c>
      <c r="D53" s="23">
        <v>1</v>
      </c>
      <c r="E53" s="23"/>
      <c r="F53" s="16">
        <f t="shared" si="0"/>
        <v>0</v>
      </c>
    </row>
    <row r="54" spans="1:6" ht="60" x14ac:dyDescent="0.25">
      <c r="A54" s="36">
        <v>27</v>
      </c>
      <c r="B54" s="40" t="s">
        <v>55</v>
      </c>
      <c r="C54" s="97" t="s">
        <v>49</v>
      </c>
      <c r="D54" s="23">
        <v>1</v>
      </c>
      <c r="E54" s="23"/>
      <c r="F54" s="16">
        <f t="shared" si="0"/>
        <v>0</v>
      </c>
    </row>
    <row r="55" spans="1:6" ht="75" x14ac:dyDescent="0.25">
      <c r="A55" s="36">
        <v>28</v>
      </c>
      <c r="B55" s="40" t="s">
        <v>155</v>
      </c>
      <c r="C55" s="97" t="s">
        <v>49</v>
      </c>
      <c r="D55" s="23">
        <v>1</v>
      </c>
      <c r="E55" s="23"/>
      <c r="F55" s="16">
        <f t="shared" si="0"/>
        <v>0</v>
      </c>
    </row>
    <row r="56" spans="1:6" ht="90" x14ac:dyDescent="0.25">
      <c r="A56" s="36">
        <v>29</v>
      </c>
      <c r="B56" s="40" t="s">
        <v>156</v>
      </c>
      <c r="C56" s="97" t="s">
        <v>49</v>
      </c>
      <c r="D56" s="23">
        <v>2</v>
      </c>
      <c r="E56" s="23"/>
      <c r="F56" s="16">
        <f t="shared" si="0"/>
        <v>0</v>
      </c>
    </row>
    <row r="57" spans="1:6" ht="45" x14ac:dyDescent="0.25">
      <c r="A57" s="36">
        <v>30</v>
      </c>
      <c r="B57" s="20" t="s">
        <v>56</v>
      </c>
      <c r="C57" s="97" t="s">
        <v>49</v>
      </c>
      <c r="D57" s="23">
        <v>2</v>
      </c>
      <c r="E57" s="23"/>
      <c r="F57" s="16">
        <f t="shared" si="0"/>
        <v>0</v>
      </c>
    </row>
    <row r="58" spans="1:6" ht="30" x14ac:dyDescent="0.25">
      <c r="A58" s="36">
        <v>31</v>
      </c>
      <c r="B58" s="20" t="s">
        <v>57</v>
      </c>
      <c r="C58" s="97" t="s">
        <v>58</v>
      </c>
      <c r="D58" s="23">
        <v>1</v>
      </c>
      <c r="E58" s="23"/>
      <c r="F58" s="16">
        <f t="shared" si="0"/>
        <v>0</v>
      </c>
    </row>
    <row r="59" spans="1:6" x14ac:dyDescent="0.25">
      <c r="A59" s="38"/>
      <c r="B59" s="34"/>
      <c r="C59" s="34"/>
      <c r="D59" s="34"/>
      <c r="E59" s="23"/>
      <c r="F59" s="16"/>
    </row>
    <row r="60" spans="1:6" x14ac:dyDescent="0.25">
      <c r="A60" s="38"/>
      <c r="B60" s="31" t="s">
        <v>59</v>
      </c>
      <c r="C60" s="34"/>
      <c r="D60" s="34"/>
      <c r="E60" s="23"/>
      <c r="F60" s="16"/>
    </row>
    <row r="61" spans="1:6" ht="45" x14ac:dyDescent="0.25">
      <c r="A61" s="36">
        <v>31</v>
      </c>
      <c r="B61" s="28" t="s">
        <v>60</v>
      </c>
      <c r="C61" s="97" t="s">
        <v>49</v>
      </c>
      <c r="D61" s="23">
        <v>2</v>
      </c>
      <c r="E61" s="23"/>
      <c r="F61" s="16">
        <f t="shared" si="0"/>
        <v>0</v>
      </c>
    </row>
    <row r="62" spans="1:6" x14ac:dyDescent="0.25">
      <c r="A62" s="41"/>
      <c r="B62" s="238" t="s">
        <v>157</v>
      </c>
      <c r="C62" s="239"/>
      <c r="D62" s="239"/>
      <c r="E62" s="240"/>
      <c r="F62" s="42">
        <f>SUM(F8:F61)</f>
        <v>0</v>
      </c>
    </row>
    <row r="63" spans="1:6" x14ac:dyDescent="0.25">
      <c r="A63" s="41"/>
      <c r="B63" s="238" t="s">
        <v>158</v>
      </c>
      <c r="C63" s="239"/>
      <c r="D63" s="239"/>
      <c r="E63" s="240"/>
      <c r="F63" s="42">
        <f>F62*2</f>
        <v>0</v>
      </c>
    </row>
    <row r="64" spans="1:6" x14ac:dyDescent="0.25">
      <c r="A64" s="43"/>
      <c r="B64" s="44"/>
      <c r="C64" s="44"/>
      <c r="D64" s="44"/>
      <c r="E64" s="44"/>
      <c r="F64" s="45"/>
    </row>
    <row r="65" spans="1:6" ht="15.75" x14ac:dyDescent="0.25">
      <c r="A65" s="148" t="s">
        <v>61</v>
      </c>
      <c r="B65" s="149" t="s">
        <v>159</v>
      </c>
      <c r="C65" s="150"/>
      <c r="D65" s="150"/>
      <c r="E65" s="151"/>
      <c r="F65" s="152"/>
    </row>
    <row r="66" spans="1:6" ht="16.5" x14ac:dyDescent="0.25">
      <c r="A66" s="153">
        <v>1</v>
      </c>
      <c r="B66" s="154" t="s">
        <v>160</v>
      </c>
      <c r="C66" s="155"/>
      <c r="D66" s="155"/>
      <c r="E66" s="156"/>
      <c r="F66" s="157"/>
    </row>
    <row r="67" spans="1:6" ht="105" x14ac:dyDescent="0.25">
      <c r="A67" s="158">
        <v>1.1000000000000001</v>
      </c>
      <c r="B67" s="159" t="s">
        <v>161</v>
      </c>
      <c r="C67" s="160"/>
      <c r="D67" s="161">
        <f>(2.5*1.8*1.3)</f>
        <v>5.8500000000000005</v>
      </c>
      <c r="E67" s="162"/>
      <c r="F67" s="162">
        <f>D67*E67</f>
        <v>0</v>
      </c>
    </row>
    <row r="68" spans="1:6" ht="45" x14ac:dyDescent="0.25">
      <c r="A68" s="158">
        <v>1.2</v>
      </c>
      <c r="B68" s="159" t="s">
        <v>162</v>
      </c>
      <c r="C68" s="160"/>
      <c r="D68" s="161">
        <f>(((1.8+1.8+2+2)*1)+(1.8*2))</f>
        <v>11.2</v>
      </c>
      <c r="E68" s="162"/>
      <c r="F68" s="162">
        <f t="shared" ref="F68:F69" si="1">D68*E68</f>
        <v>0</v>
      </c>
    </row>
    <row r="69" spans="1:6" ht="45" x14ac:dyDescent="0.25">
      <c r="A69" s="158">
        <v>1.3</v>
      </c>
      <c r="B69" s="163" t="s">
        <v>163</v>
      </c>
      <c r="C69" s="160"/>
      <c r="D69" s="161">
        <f>D68</f>
        <v>11.2</v>
      </c>
      <c r="E69" s="162"/>
      <c r="F69" s="162">
        <f t="shared" si="1"/>
        <v>0</v>
      </c>
    </row>
    <row r="70" spans="1:6" ht="16.5" x14ac:dyDescent="0.25">
      <c r="A70" s="164">
        <v>2</v>
      </c>
      <c r="B70" s="165" t="s">
        <v>164</v>
      </c>
      <c r="C70" s="166"/>
      <c r="D70" s="166"/>
      <c r="E70" s="167"/>
      <c r="F70" s="168"/>
    </row>
    <row r="71" spans="1:6" ht="135" x14ac:dyDescent="0.25">
      <c r="A71" s="158">
        <v>2.1</v>
      </c>
      <c r="B71" s="163" t="s">
        <v>165</v>
      </c>
      <c r="C71" s="160" t="s">
        <v>64</v>
      </c>
      <c r="D71" s="169">
        <v>1</v>
      </c>
      <c r="E71" s="162"/>
      <c r="F71" s="170">
        <f t="shared" ref="F71:F73" si="2">E71*D71</f>
        <v>0</v>
      </c>
    </row>
    <row r="72" spans="1:6" ht="90" x14ac:dyDescent="0.25">
      <c r="A72" s="158">
        <v>2.2000000000000002</v>
      </c>
      <c r="B72" s="163" t="s">
        <v>166</v>
      </c>
      <c r="C72" s="160" t="s">
        <v>37</v>
      </c>
      <c r="D72" s="169">
        <v>1</v>
      </c>
      <c r="E72" s="162"/>
      <c r="F72" s="170">
        <f t="shared" si="2"/>
        <v>0</v>
      </c>
    </row>
    <row r="73" spans="1:6" ht="120" x14ac:dyDescent="0.25">
      <c r="A73" s="158">
        <v>3.2</v>
      </c>
      <c r="B73" s="163" t="s">
        <v>167</v>
      </c>
      <c r="C73" s="160" t="s">
        <v>37</v>
      </c>
      <c r="D73" s="169">
        <v>1</v>
      </c>
      <c r="E73" s="162"/>
      <c r="F73" s="170">
        <f t="shared" si="2"/>
        <v>0</v>
      </c>
    </row>
    <row r="74" spans="1:6" x14ac:dyDescent="0.25">
      <c r="A74" s="171">
        <v>3</v>
      </c>
      <c r="B74" s="172" t="s">
        <v>168</v>
      </c>
      <c r="C74" s="173"/>
      <c r="D74" s="174"/>
      <c r="E74" s="175"/>
      <c r="F74" s="176"/>
    </row>
    <row r="75" spans="1:6" ht="60" x14ac:dyDescent="0.25">
      <c r="A75" s="177">
        <v>1.1000000000000001</v>
      </c>
      <c r="B75" s="178" t="s">
        <v>169</v>
      </c>
      <c r="C75" s="179" t="s">
        <v>170</v>
      </c>
      <c r="D75" s="180">
        <v>60</v>
      </c>
      <c r="E75" s="181"/>
      <c r="F75" s="182">
        <f t="shared" ref="F75" si="3">E75*D75</f>
        <v>0</v>
      </c>
    </row>
    <row r="76" spans="1:6" ht="16.5" x14ac:dyDescent="0.25">
      <c r="A76" s="183"/>
      <c r="B76" s="230" t="str">
        <f>B65</f>
        <v xml:space="preserve">One Ground Water Tank </v>
      </c>
      <c r="C76" s="231"/>
      <c r="D76" s="231"/>
      <c r="E76" s="232"/>
      <c r="F76" s="184">
        <f>SUM(F67:F75)</f>
        <v>0</v>
      </c>
    </row>
    <row r="77" spans="1:6" x14ac:dyDescent="0.25">
      <c r="A77" s="56"/>
      <c r="B77" s="253"/>
      <c r="C77" s="254"/>
      <c r="D77" s="254"/>
      <c r="E77" s="255"/>
      <c r="F77" s="57"/>
    </row>
    <row r="78" spans="1:6" x14ac:dyDescent="0.25">
      <c r="A78" s="7" t="s">
        <v>66</v>
      </c>
      <c r="B78" s="256" t="s">
        <v>131</v>
      </c>
      <c r="C78" s="257"/>
      <c r="D78" s="257"/>
      <c r="E78" s="258"/>
      <c r="F78" s="11"/>
    </row>
    <row r="79" spans="1:6" x14ac:dyDescent="0.25">
      <c r="A79" s="212" t="s">
        <v>132</v>
      </c>
      <c r="B79" s="213"/>
      <c r="C79" s="213"/>
      <c r="D79" s="213"/>
      <c r="E79" s="213"/>
      <c r="F79" s="214"/>
    </row>
    <row r="80" spans="1:6" ht="30" x14ac:dyDescent="0.25">
      <c r="A80" s="52">
        <v>1</v>
      </c>
      <c r="B80" s="20" t="s">
        <v>69</v>
      </c>
      <c r="C80" s="14" t="s">
        <v>63</v>
      </c>
      <c r="D80" s="14">
        <f>8*(10*9)</f>
        <v>720</v>
      </c>
      <c r="E80" s="58"/>
      <c r="F80" s="16">
        <f t="shared" ref="F80:F106" si="4">D80*E80</f>
        <v>0</v>
      </c>
    </row>
    <row r="81" spans="1:6" ht="60" x14ac:dyDescent="0.25">
      <c r="A81" s="52">
        <v>2</v>
      </c>
      <c r="B81" s="20" t="s">
        <v>70</v>
      </c>
      <c r="C81" s="14" t="s">
        <v>17</v>
      </c>
      <c r="D81" s="14">
        <f>(8*8.2*3+9*9)*0.5*0.7</f>
        <v>97.229999999999976</v>
      </c>
      <c r="E81" s="58"/>
      <c r="F81" s="16">
        <f t="shared" si="4"/>
        <v>0</v>
      </c>
    </row>
    <row r="82" spans="1:6" ht="45" x14ac:dyDescent="0.25">
      <c r="A82" s="52">
        <v>3</v>
      </c>
      <c r="B82" s="20" t="s">
        <v>71</v>
      </c>
      <c r="C82" s="14" t="s">
        <v>63</v>
      </c>
      <c r="D82" s="14">
        <f>(8*8.2*3+9*9)*0.5</f>
        <v>138.89999999999998</v>
      </c>
      <c r="E82" s="58"/>
      <c r="F82" s="16">
        <f t="shared" si="4"/>
        <v>0</v>
      </c>
    </row>
    <row r="83" spans="1:6" ht="45" x14ac:dyDescent="0.25">
      <c r="A83" s="52">
        <v>4</v>
      </c>
      <c r="B83" s="20" t="s">
        <v>72</v>
      </c>
      <c r="C83" s="14" t="s">
        <v>62</v>
      </c>
      <c r="D83" s="14">
        <f>(8*8.2*3+9*9)*0.9*0.4</f>
        <v>100.00799999999998</v>
      </c>
      <c r="E83" s="58"/>
      <c r="F83" s="16">
        <f t="shared" si="4"/>
        <v>0</v>
      </c>
    </row>
    <row r="84" spans="1:6" ht="105" x14ac:dyDescent="0.25">
      <c r="A84" s="52">
        <v>5</v>
      </c>
      <c r="B84" s="20" t="s">
        <v>73</v>
      </c>
      <c r="C84" s="59" t="s">
        <v>62</v>
      </c>
      <c r="D84" s="14">
        <f>(8*8.2*3+9*9)*0.2*0.4</f>
        <v>22.224</v>
      </c>
      <c r="E84" s="22"/>
      <c r="F84" s="16">
        <f t="shared" si="4"/>
        <v>0</v>
      </c>
    </row>
    <row r="85" spans="1:6" ht="90" x14ac:dyDescent="0.25">
      <c r="A85" s="52">
        <v>6</v>
      </c>
      <c r="B85" s="20" t="s">
        <v>74</v>
      </c>
      <c r="C85" s="59" t="s">
        <v>62</v>
      </c>
      <c r="D85" s="52">
        <f>(9*2+17)*(0.7*0.7*0.3)</f>
        <v>5.1449999999999987</v>
      </c>
      <c r="E85" s="22"/>
      <c r="F85" s="16">
        <f t="shared" si="4"/>
        <v>0</v>
      </c>
    </row>
    <row r="86" spans="1:6" ht="90" x14ac:dyDescent="0.25">
      <c r="A86" s="52">
        <v>7</v>
      </c>
      <c r="B86" s="20" t="s">
        <v>133</v>
      </c>
      <c r="C86" s="14" t="s">
        <v>62</v>
      </c>
      <c r="D86" s="52">
        <f>(9*2+17)*(1*0.2*0.2)</f>
        <v>1.4000000000000004</v>
      </c>
      <c r="E86" s="15"/>
      <c r="F86" s="16">
        <f t="shared" si="4"/>
        <v>0</v>
      </c>
    </row>
    <row r="87" spans="1:6" ht="30" x14ac:dyDescent="0.25">
      <c r="A87" s="52">
        <v>8</v>
      </c>
      <c r="B87" s="20" t="s">
        <v>76</v>
      </c>
      <c r="C87" s="52" t="s">
        <v>62</v>
      </c>
      <c r="D87" s="60">
        <f>8*8*9*0.2</f>
        <v>115.2</v>
      </c>
      <c r="E87" s="58"/>
      <c r="F87" s="16">
        <f t="shared" si="4"/>
        <v>0</v>
      </c>
    </row>
    <row r="88" spans="1:6" x14ac:dyDescent="0.25">
      <c r="A88" s="52">
        <v>9</v>
      </c>
      <c r="B88" s="20" t="s">
        <v>77</v>
      </c>
      <c r="C88" s="52" t="s">
        <v>63</v>
      </c>
      <c r="D88" s="60">
        <f>8*8*9</f>
        <v>576</v>
      </c>
      <c r="E88" s="58"/>
      <c r="F88" s="16">
        <f t="shared" si="4"/>
        <v>0</v>
      </c>
    </row>
    <row r="89" spans="1:6" ht="45" x14ac:dyDescent="0.25">
      <c r="A89" s="52">
        <v>10</v>
      </c>
      <c r="B89" s="20" t="s">
        <v>78</v>
      </c>
      <c r="C89" s="14" t="s">
        <v>63</v>
      </c>
      <c r="D89" s="61">
        <f>D88</f>
        <v>576</v>
      </c>
      <c r="E89" s="22"/>
      <c r="F89" s="16">
        <f t="shared" si="4"/>
        <v>0</v>
      </c>
    </row>
    <row r="90" spans="1:6" ht="120" x14ac:dyDescent="0.25">
      <c r="A90" s="52">
        <v>11</v>
      </c>
      <c r="B90" s="20" t="s">
        <v>79</v>
      </c>
      <c r="C90" s="52" t="s">
        <v>62</v>
      </c>
      <c r="D90" s="60">
        <f>8*8*9*0.08</f>
        <v>46.08</v>
      </c>
      <c r="E90" s="58"/>
      <c r="F90" s="16">
        <f t="shared" si="4"/>
        <v>0</v>
      </c>
    </row>
    <row r="91" spans="1:6" ht="90" x14ac:dyDescent="0.25">
      <c r="A91" s="52">
        <v>12</v>
      </c>
      <c r="B91" s="20" t="s">
        <v>134</v>
      </c>
      <c r="C91" s="14" t="s">
        <v>62</v>
      </c>
      <c r="D91" s="52">
        <f>(9*2+17)*(3.2*0.2*0.2)</f>
        <v>4.4800000000000013</v>
      </c>
      <c r="E91" s="15"/>
      <c r="F91" s="16">
        <f t="shared" si="4"/>
        <v>0</v>
      </c>
    </row>
    <row r="92" spans="1:6" ht="45" x14ac:dyDescent="0.25">
      <c r="A92" s="52">
        <v>13</v>
      </c>
      <c r="B92" s="20" t="s">
        <v>80</v>
      </c>
      <c r="C92" s="14" t="s">
        <v>63</v>
      </c>
      <c r="D92" s="14">
        <f>(8*8*2+7*9)*3.2-(5*1.2*1.2+1.2*2.1)*8</f>
        <v>533.44000000000005</v>
      </c>
      <c r="E92" s="58"/>
      <c r="F92" s="16">
        <f t="shared" si="4"/>
        <v>0</v>
      </c>
    </row>
    <row r="93" spans="1:6" ht="90" x14ac:dyDescent="0.25">
      <c r="A93" s="52">
        <v>14</v>
      </c>
      <c r="B93" s="20" t="s">
        <v>81</v>
      </c>
      <c r="C93" s="14" t="s">
        <v>62</v>
      </c>
      <c r="D93" s="14">
        <f>(8*8*1.75)*0.2*0.15</f>
        <v>3.3600000000000003</v>
      </c>
      <c r="E93" s="15"/>
      <c r="F93" s="16">
        <f>D93*E93</f>
        <v>0</v>
      </c>
    </row>
    <row r="94" spans="1:6" ht="90" x14ac:dyDescent="0.25">
      <c r="A94" s="52">
        <v>15</v>
      </c>
      <c r="B94" s="20" t="s">
        <v>82</v>
      </c>
      <c r="C94" s="14" t="s">
        <v>62</v>
      </c>
      <c r="D94" s="14">
        <f>(8*8.4*2+7.2*9)*0.2*0.2</f>
        <v>7.9680000000000009</v>
      </c>
      <c r="E94" s="15"/>
      <c r="F94" s="16">
        <f>D94*E94</f>
        <v>0</v>
      </c>
    </row>
    <row r="95" spans="1:6" ht="90" x14ac:dyDescent="0.25">
      <c r="A95" s="52">
        <v>16</v>
      </c>
      <c r="B95" s="20" t="s">
        <v>83</v>
      </c>
      <c r="C95" s="52" t="s">
        <v>62</v>
      </c>
      <c r="D95" s="14">
        <f>(8*8.2*3+9*9)*0.2*0.3</f>
        <v>16.667999999999999</v>
      </c>
      <c r="E95" s="58"/>
      <c r="F95" s="16">
        <f t="shared" si="4"/>
        <v>0</v>
      </c>
    </row>
    <row r="96" spans="1:6" ht="135" x14ac:dyDescent="0.25">
      <c r="A96" s="52">
        <v>17</v>
      </c>
      <c r="B96" s="20" t="s">
        <v>135</v>
      </c>
      <c r="C96" s="52" t="s">
        <v>63</v>
      </c>
      <c r="D96" s="52">
        <f>8*8.3*9.6*1.5</f>
        <v>956.16000000000008</v>
      </c>
      <c r="E96" s="58"/>
      <c r="F96" s="16">
        <f t="shared" si="4"/>
        <v>0</v>
      </c>
    </row>
    <row r="97" spans="1:6" ht="60" x14ac:dyDescent="0.25">
      <c r="A97" s="52">
        <v>18</v>
      </c>
      <c r="B97" s="20" t="s">
        <v>86</v>
      </c>
      <c r="C97" s="52" t="s">
        <v>63</v>
      </c>
      <c r="D97" s="60">
        <f>D89</f>
        <v>576</v>
      </c>
      <c r="E97" s="58"/>
      <c r="F97" s="16">
        <f t="shared" si="4"/>
        <v>0</v>
      </c>
    </row>
    <row r="98" spans="1:6" ht="75" x14ac:dyDescent="0.25">
      <c r="A98" s="52">
        <v>19</v>
      </c>
      <c r="B98" s="20" t="s">
        <v>87</v>
      </c>
      <c r="C98" s="59" t="s">
        <v>65</v>
      </c>
      <c r="D98" s="59">
        <v>1</v>
      </c>
      <c r="E98" s="22"/>
      <c r="F98" s="16">
        <f t="shared" si="4"/>
        <v>0</v>
      </c>
    </row>
    <row r="99" spans="1:6" ht="45" x14ac:dyDescent="0.25">
      <c r="A99" s="52">
        <v>20</v>
      </c>
      <c r="B99" s="63" t="s">
        <v>88</v>
      </c>
      <c r="C99" s="64" t="s">
        <v>63</v>
      </c>
      <c r="D99" s="14">
        <f>(8*8*2+7*8*2)*3.4-(5*1.2*1.2+1.2*2.1)*8</f>
        <v>738.24</v>
      </c>
      <c r="E99" s="124"/>
      <c r="F99" s="16">
        <f t="shared" si="4"/>
        <v>0</v>
      </c>
    </row>
    <row r="100" spans="1:6" ht="45" x14ac:dyDescent="0.25">
      <c r="A100" s="52">
        <v>21</v>
      </c>
      <c r="B100" s="63" t="s">
        <v>89</v>
      </c>
      <c r="C100" s="64" t="s">
        <v>63</v>
      </c>
      <c r="D100" s="14">
        <f>(8*8.3*2.2+7.4*2.3)*4-(5*1.2*1.2+1.2*2.1)*8</f>
        <v>574.6400000000001</v>
      </c>
      <c r="E100" s="124"/>
      <c r="F100" s="16">
        <f>D100*E100</f>
        <v>0</v>
      </c>
    </row>
    <row r="101" spans="1:6" ht="75" x14ac:dyDescent="0.25">
      <c r="A101" s="52">
        <v>22</v>
      </c>
      <c r="B101" s="63" t="s">
        <v>177</v>
      </c>
      <c r="C101" s="64" t="s">
        <v>63</v>
      </c>
      <c r="D101" s="59">
        <f>D99</f>
        <v>738.24</v>
      </c>
      <c r="E101" s="124"/>
      <c r="F101" s="16">
        <f t="shared" si="4"/>
        <v>0</v>
      </c>
    </row>
    <row r="102" spans="1:6" ht="45" x14ac:dyDescent="0.25">
      <c r="A102" s="52">
        <v>23</v>
      </c>
      <c r="B102" s="63" t="s">
        <v>90</v>
      </c>
      <c r="C102" s="52" t="s">
        <v>63</v>
      </c>
      <c r="D102" s="64">
        <f>D100</f>
        <v>574.6400000000001</v>
      </c>
      <c r="E102" s="124"/>
      <c r="F102" s="16">
        <f t="shared" si="4"/>
        <v>0</v>
      </c>
    </row>
    <row r="103" spans="1:6" ht="45" x14ac:dyDescent="0.25">
      <c r="A103" s="52">
        <v>24</v>
      </c>
      <c r="B103" s="125" t="s">
        <v>136</v>
      </c>
      <c r="C103" s="75" t="s">
        <v>64</v>
      </c>
      <c r="D103" s="14">
        <v>8</v>
      </c>
      <c r="E103" s="15"/>
      <c r="F103" s="16">
        <f t="shared" si="4"/>
        <v>0</v>
      </c>
    </row>
    <row r="104" spans="1:6" ht="165" x14ac:dyDescent="0.25">
      <c r="A104" s="52">
        <v>25</v>
      </c>
      <c r="B104" s="68" t="s">
        <v>92</v>
      </c>
      <c r="C104" s="75" t="s">
        <v>64</v>
      </c>
      <c r="D104" s="52">
        <f>8*5</f>
        <v>40</v>
      </c>
      <c r="E104" s="58"/>
      <c r="F104" s="16">
        <f t="shared" si="4"/>
        <v>0</v>
      </c>
    </row>
    <row r="105" spans="1:6" ht="75" x14ac:dyDescent="0.25">
      <c r="A105" s="52">
        <v>26</v>
      </c>
      <c r="B105" s="69" t="s">
        <v>93</v>
      </c>
      <c r="C105" s="126" t="s">
        <v>64</v>
      </c>
      <c r="D105" s="75">
        <v>2</v>
      </c>
      <c r="E105" s="127"/>
      <c r="F105" s="16">
        <f t="shared" si="4"/>
        <v>0</v>
      </c>
    </row>
    <row r="106" spans="1:6" ht="30" x14ac:dyDescent="0.25">
      <c r="A106" s="52">
        <v>27</v>
      </c>
      <c r="B106" s="69" t="s">
        <v>137</v>
      </c>
      <c r="C106" s="14" t="s">
        <v>95</v>
      </c>
      <c r="D106" s="14">
        <v>8</v>
      </c>
      <c r="E106" s="14"/>
      <c r="F106" s="16">
        <f t="shared" si="4"/>
        <v>0</v>
      </c>
    </row>
    <row r="107" spans="1:6" x14ac:dyDescent="0.25">
      <c r="A107" s="54"/>
      <c r="B107" s="215" t="s">
        <v>138</v>
      </c>
      <c r="C107" s="216"/>
      <c r="D107" s="216"/>
      <c r="E107" s="217"/>
      <c r="F107" s="55">
        <f>SUM(F80:F106)</f>
        <v>0</v>
      </c>
    </row>
    <row r="108" spans="1:6" x14ac:dyDescent="0.25">
      <c r="A108" s="52"/>
      <c r="B108" s="20"/>
      <c r="C108" s="59"/>
      <c r="D108" s="59"/>
      <c r="E108" s="59"/>
      <c r="F108" s="74"/>
    </row>
    <row r="109" spans="1:6" x14ac:dyDescent="0.25">
      <c r="A109" s="7" t="s">
        <v>171</v>
      </c>
      <c r="B109" s="81" t="s">
        <v>97</v>
      </c>
      <c r="C109" s="82"/>
      <c r="D109" s="83"/>
      <c r="E109" s="84"/>
      <c r="F109" s="11"/>
    </row>
    <row r="110" spans="1:6" ht="90" x14ac:dyDescent="0.25">
      <c r="A110" s="52">
        <v>1</v>
      </c>
      <c r="B110" s="85" t="s">
        <v>98</v>
      </c>
      <c r="C110" s="86" t="s">
        <v>49</v>
      </c>
      <c r="D110" s="87">
        <v>1</v>
      </c>
      <c r="E110" s="22"/>
      <c r="F110" s="16">
        <f t="shared" ref="F110" si="5">D110*E110</f>
        <v>0</v>
      </c>
    </row>
    <row r="111" spans="1:6" x14ac:dyDescent="0.25">
      <c r="A111" s="54"/>
      <c r="B111" s="215" t="s">
        <v>99</v>
      </c>
      <c r="C111" s="216"/>
      <c r="D111" s="216"/>
      <c r="E111" s="217"/>
      <c r="F111" s="88">
        <f>SUM(F110)</f>
        <v>0</v>
      </c>
    </row>
    <row r="112" spans="1:6" x14ac:dyDescent="0.25">
      <c r="A112" s="185"/>
      <c r="B112" s="233" t="s">
        <v>172</v>
      </c>
      <c r="C112" s="233"/>
      <c r="D112" s="233"/>
      <c r="E112" s="233"/>
      <c r="F112" s="186"/>
    </row>
    <row r="113" spans="1:6" ht="15.75" x14ac:dyDescent="0.25">
      <c r="A113" s="116" t="s">
        <v>11</v>
      </c>
      <c r="B113" s="224" t="str">
        <f>B63</f>
        <v>Subtotal for two twin latrine</v>
      </c>
      <c r="C113" s="225"/>
      <c r="D113" s="225"/>
      <c r="E113" s="226"/>
      <c r="F113" s="187">
        <f>F63</f>
        <v>0</v>
      </c>
    </row>
    <row r="114" spans="1:6" ht="15.75" x14ac:dyDescent="0.25">
      <c r="A114" s="116" t="s">
        <v>61</v>
      </c>
      <c r="B114" s="234" t="str">
        <f>B76</f>
        <v xml:space="preserve">One Ground Water Tank </v>
      </c>
      <c r="C114" s="225"/>
      <c r="D114" s="225"/>
      <c r="E114" s="226"/>
      <c r="F114" s="187">
        <f>F76</f>
        <v>0</v>
      </c>
    </row>
    <row r="115" spans="1:6" ht="15.75" x14ac:dyDescent="0.25">
      <c r="A115" s="116" t="s">
        <v>66</v>
      </c>
      <c r="B115" s="224" t="str">
        <f>B107</f>
        <v>Subtotal for 8 new classrooms</v>
      </c>
      <c r="C115" s="225"/>
      <c r="D115" s="225"/>
      <c r="E115" s="226"/>
      <c r="F115" s="196">
        <f>F107</f>
        <v>0</v>
      </c>
    </row>
    <row r="116" spans="1:6" ht="15.75" x14ac:dyDescent="0.25">
      <c r="A116" s="116" t="s">
        <v>171</v>
      </c>
      <c r="B116" s="224" t="str">
        <f>B111</f>
        <v xml:space="preserve">Subtotal for visibility </v>
      </c>
      <c r="C116" s="225"/>
      <c r="D116" s="225"/>
      <c r="E116" s="226"/>
      <c r="F116" s="187">
        <f>F111</f>
        <v>0</v>
      </c>
    </row>
    <row r="117" spans="1:6" x14ac:dyDescent="0.25">
      <c r="A117" s="116"/>
      <c r="B117" s="227"/>
      <c r="C117" s="228"/>
      <c r="D117" s="228"/>
      <c r="E117" s="229"/>
      <c r="F117" s="117"/>
    </row>
    <row r="118" spans="1:6" ht="16.5" thickBot="1" x14ac:dyDescent="0.3">
      <c r="A118" s="89"/>
      <c r="B118" s="218" t="s">
        <v>100</v>
      </c>
      <c r="C118" s="219"/>
      <c r="D118" s="219"/>
      <c r="E118" s="220"/>
      <c r="F118" s="90">
        <f>F116+F115+F114+F113</f>
        <v>0</v>
      </c>
    </row>
    <row r="119" spans="1:6" ht="15.75" thickBot="1" x14ac:dyDescent="0.3">
      <c r="A119" s="91"/>
      <c r="B119" s="92"/>
      <c r="C119" s="93"/>
      <c r="D119" s="93"/>
      <c r="E119" s="93"/>
      <c r="F119" s="94"/>
    </row>
    <row r="120" spans="1:6" x14ac:dyDescent="0.25">
      <c r="A120" s="95"/>
      <c r="B120" s="96" t="s">
        <v>101</v>
      </c>
      <c r="C120" s="221"/>
      <c r="D120" s="222"/>
      <c r="E120" s="222"/>
      <c r="F120" s="223"/>
    </row>
    <row r="121" spans="1:6" x14ac:dyDescent="0.25">
      <c r="A121" s="95"/>
      <c r="B121" s="96" t="s">
        <v>102</v>
      </c>
      <c r="C121" s="206"/>
      <c r="D121" s="207"/>
      <c r="E121" s="207"/>
      <c r="F121" s="208"/>
    </row>
    <row r="122" spans="1:6" x14ac:dyDescent="0.25">
      <c r="A122" s="95"/>
      <c r="B122" s="96" t="s">
        <v>103</v>
      </c>
      <c r="C122" s="206"/>
      <c r="D122" s="207"/>
      <c r="E122" s="207"/>
      <c r="F122" s="208"/>
    </row>
    <row r="123" spans="1:6" ht="15.75" thickBot="1" x14ac:dyDescent="0.3">
      <c r="A123" s="95"/>
      <c r="B123" s="96" t="s">
        <v>104</v>
      </c>
      <c r="C123" s="209"/>
      <c r="D123" s="210"/>
      <c r="E123" s="210"/>
      <c r="F123" s="211"/>
    </row>
    <row r="124" spans="1:6" x14ac:dyDescent="0.25">
      <c r="A124" s="91"/>
      <c r="B124" s="92"/>
      <c r="C124" s="93"/>
      <c r="D124" s="93"/>
      <c r="E124" s="93"/>
      <c r="F124" s="94"/>
    </row>
    <row r="125" spans="1:6" x14ac:dyDescent="0.25">
      <c r="A125" s="91"/>
      <c r="B125" s="92"/>
      <c r="C125" s="93"/>
      <c r="D125" s="93"/>
      <c r="E125" s="93"/>
      <c r="F125" s="94"/>
    </row>
  </sheetData>
  <mergeCells count="21">
    <mergeCell ref="B76:E76"/>
    <mergeCell ref="B77:E77"/>
    <mergeCell ref="B78:E78"/>
    <mergeCell ref="A79:F79"/>
    <mergeCell ref="B1:F1"/>
    <mergeCell ref="B2:F2"/>
    <mergeCell ref="B3:F3"/>
    <mergeCell ref="B62:E62"/>
    <mergeCell ref="B63:E63"/>
    <mergeCell ref="C122:F123"/>
    <mergeCell ref="B111:E111"/>
    <mergeCell ref="B117:E117"/>
    <mergeCell ref="C121:F121"/>
    <mergeCell ref="B107:E107"/>
    <mergeCell ref="B112:E112"/>
    <mergeCell ref="B113:E113"/>
    <mergeCell ref="B114:E114"/>
    <mergeCell ref="B115:E115"/>
    <mergeCell ref="B116:E116"/>
    <mergeCell ref="B118:E118"/>
    <mergeCell ref="C120:F12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Lot-3 Summary Sheet</vt:lpstr>
      <vt:lpstr>Qodqod PS</vt:lpstr>
      <vt:lpstr>Girijir PS</vt:lpstr>
      <vt:lpstr>Mataban-Alfurqan PS</vt:lpstr>
      <vt:lpstr>'Lot-3 Summary Sheet'!Print_Area</vt:lpstr>
    </vt:vector>
  </TitlesOfParts>
  <Company>Save the Children International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Hassan4, Abdullahi</dc:creator>
  <cp:lastModifiedBy>Hassan4, Abdullahi</cp:lastModifiedBy>
  <dcterms:created xsi:type="dcterms:W3CDTF">2025-04-10T09:39:25Z</dcterms:created>
  <dcterms:modified xsi:type="dcterms:W3CDTF">2025-04-20T08:33:54Z</dcterms:modified>
</cp:coreProperties>
</file>