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A.Hassan4\AppData\Local\Temp\Rar$DIa23708.4121\"/>
    </mc:Choice>
  </mc:AlternateContent>
  <xr:revisionPtr revIDLastSave="0" documentId="13_ncr:1_{87B0168D-BD5F-460F-BD1A-7C9D81CD3F47}" xr6:coauthVersionLast="36" xr6:coauthVersionMax="47" xr10:uidLastSave="{00000000-0000-0000-0000-000000000000}"/>
  <bookViews>
    <workbookView xWindow="-105" yWindow="-105" windowWidth="19425" windowHeight="10305" tabRatio="958" activeTab="6" xr2:uid="{6164D1FF-47E4-45A2-8A92-9481BD354721}"/>
  </bookViews>
  <sheets>
    <sheet name="General Preliminaries " sheetId="64" r:id="rId1"/>
    <sheet name="Summary B.code" sheetId="76" r:id="rId2"/>
    <sheet name="Intervention summary " sheetId="32" state="hidden" r:id="rId3"/>
    <sheet name="Comparison" sheetId="67" state="hidden" r:id="rId4"/>
    <sheet name="School list" sheetId="37" state="hidden" r:id="rId5"/>
    <sheet name="Rugta " sheetId="17" r:id="rId6"/>
    <sheet name="Farjano" sheetId="33" r:id="rId7"/>
    <sheet name="Ganaane" sheetId="54" r:id="rId8"/>
    <sheet name="Guulwade" sheetId="55" state="hidden" r:id="rId9"/>
    <sheet name="Horseed" sheetId="38" state="hidden" r:id="rId10"/>
    <sheet name="Horyaal" sheetId="61" state="hidden" r:id="rId11"/>
    <sheet name="Ex-Minriino" sheetId="62" r:id="rId12"/>
    <sheet name="New Wamo " sheetId="36" r:id="rId13"/>
    <sheet name="Wamo st" sheetId="39" r:id="rId14"/>
    <sheet name="SummaryL6" sheetId="68" r:id="rId15"/>
    <sheet name="GPS" sheetId="77" r:id="rId16"/>
    <sheet name="Iftin" sheetId="40" state="hidden" r:id="rId17"/>
    <sheet name="Ahmed B Hambal" sheetId="44" state="hidden" r:id="rId18"/>
    <sheet name="Ahmed Gurey" sheetId="58" state="hidden" r:id="rId19"/>
    <sheet name="Al-Huda W.nur" sheetId="65" state="hidden" r:id="rId20"/>
  </sheets>
  <definedNames>
    <definedName name="_xlnm.Print_Area" localSheetId="6">Farjano!$A$1:$F$66</definedName>
    <definedName name="_xlnm.Print_Area" localSheetId="12">'New Wamo '!$A$1:$F$62</definedName>
    <definedName name="_xlnm.Print_Area" localSheetId="5">'Rugta '!$A$1:$F$53</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33" l="1"/>
  <c r="F14" i="33"/>
  <c r="D8" i="17"/>
  <c r="D7" i="17"/>
  <c r="C11" i="68"/>
  <c r="C10" i="68"/>
  <c r="C9" i="68"/>
  <c r="C8" i="68"/>
  <c r="F55" i="36"/>
  <c r="F52" i="36"/>
  <c r="F54" i="39"/>
  <c r="F53" i="39"/>
  <c r="F52" i="39"/>
  <c r="F44" i="36" l="1"/>
  <c r="F43" i="36"/>
  <c r="F42" i="36"/>
  <c r="F41" i="36"/>
  <c r="F40" i="36"/>
  <c r="F38" i="36"/>
  <c r="F37" i="36"/>
  <c r="F36" i="36"/>
  <c r="F43" i="33"/>
  <c r="F44" i="33"/>
  <c r="F45" i="36" l="1"/>
  <c r="F15" i="17" l="1"/>
  <c r="G11" i="76" l="1"/>
  <c r="J11" i="76"/>
  <c r="I11" i="76"/>
  <c r="H11" i="76"/>
  <c r="F11" i="76"/>
  <c r="E11" i="76"/>
  <c r="J26" i="32" l="1"/>
  <c r="K26" i="32"/>
  <c r="L26" i="32"/>
  <c r="M26" i="32"/>
  <c r="N26" i="32"/>
  <c r="O26" i="32"/>
  <c r="P26" i="32"/>
  <c r="AD31" i="32"/>
  <c r="AC31" i="32" s="1"/>
  <c r="AD32" i="32"/>
  <c r="AC32" i="32" s="1"/>
  <c r="AD33" i="32"/>
  <c r="AC33" i="32" s="1"/>
  <c r="O34" i="32"/>
  <c r="N34" i="32" s="1"/>
  <c r="AC34" i="32"/>
  <c r="AD34" i="32"/>
  <c r="N35" i="32"/>
  <c r="O35" i="32"/>
  <c r="AC35" i="32"/>
  <c r="AD35" i="32"/>
  <c r="L36" i="32"/>
  <c r="L53" i="32" s="1"/>
  <c r="L55" i="32" s="1"/>
  <c r="AD36" i="32"/>
  <c r="AC36" i="32" s="1"/>
  <c r="L37" i="32"/>
  <c r="K37" i="32" s="1"/>
  <c r="AC37" i="32"/>
  <c r="AD37" i="32"/>
  <c r="K38" i="32"/>
  <c r="L38" i="32"/>
  <c r="AC38" i="32"/>
  <c r="AD38" i="32"/>
  <c r="AD39" i="32"/>
  <c r="AC39" i="32" s="1"/>
  <c r="O40" i="32"/>
  <c r="N40" i="32" s="1"/>
  <c r="AD40" i="32"/>
  <c r="AC40" i="32" s="1"/>
  <c r="O41" i="32"/>
  <c r="N41" i="32" s="1"/>
  <c r="AD41" i="32"/>
  <c r="AC41" i="32" s="1"/>
  <c r="K42" i="32"/>
  <c r="L42" i="32"/>
  <c r="O42" i="32"/>
  <c r="N42" i="32" s="1"/>
  <c r="T42" i="32"/>
  <c r="U42" i="32"/>
  <c r="AD42" i="32"/>
  <c r="AC42" i="32" s="1"/>
  <c r="K43" i="32"/>
  <c r="L43" i="32"/>
  <c r="N43" i="32"/>
  <c r="O43" i="32"/>
  <c r="AC43" i="32"/>
  <c r="AD43" i="32"/>
  <c r="O44" i="32"/>
  <c r="N44" i="32" s="1"/>
  <c r="AD44" i="32"/>
  <c r="AC44" i="32" s="1"/>
  <c r="L45" i="32"/>
  <c r="K45" i="32" s="1"/>
  <c r="O45" i="32"/>
  <c r="AD45" i="32"/>
  <c r="AC45" i="32" s="1"/>
  <c r="L46" i="32"/>
  <c r="K46" i="32" s="1"/>
  <c r="O46" i="32"/>
  <c r="AD46" i="32"/>
  <c r="AC46" i="32" s="1"/>
  <c r="L47" i="32"/>
  <c r="K47" i="32" s="1"/>
  <c r="O47" i="32"/>
  <c r="Q47" i="32"/>
  <c r="R47" i="32"/>
  <c r="R53" i="32" s="1"/>
  <c r="R55" i="32" s="1"/>
  <c r="AD47" i="32"/>
  <c r="AC47" i="32" s="1"/>
  <c r="L48" i="32"/>
  <c r="K48" i="32" s="1"/>
  <c r="O48" i="32"/>
  <c r="AD48" i="32"/>
  <c r="AC48" i="32" s="1"/>
  <c r="L49" i="32"/>
  <c r="K49" i="32" s="1"/>
  <c r="O49" i="32"/>
  <c r="AD49" i="32"/>
  <c r="AC49" i="32" s="1"/>
  <c r="L50" i="32"/>
  <c r="K50" i="32" s="1"/>
  <c r="O50" i="32"/>
  <c r="AC50" i="32"/>
  <c r="AD50" i="32"/>
  <c r="L51" i="32"/>
  <c r="K51" i="32" s="1"/>
  <c r="O51" i="32"/>
  <c r="AD51" i="32"/>
  <c r="AC51" i="32" s="1"/>
  <c r="L52" i="32"/>
  <c r="K52" i="32" s="1"/>
  <c r="O52" i="32"/>
  <c r="AC52" i="32"/>
  <c r="AD52" i="32"/>
  <c r="J53" i="32"/>
  <c r="M53" i="32"/>
  <c r="P53" i="32"/>
  <c r="R54" i="32" s="1"/>
  <c r="R56" i="32" s="1"/>
  <c r="AB53" i="32"/>
  <c r="AD54" i="32" s="1"/>
  <c r="L54" i="32"/>
  <c r="O54" i="32"/>
  <c r="X55" i="32"/>
  <c r="X56" i="32"/>
  <c r="AD53" i="32" l="1"/>
  <c r="AD55" i="32" s="1"/>
  <c r="AD56" i="32" s="1"/>
  <c r="L56" i="32"/>
  <c r="K36" i="32"/>
  <c r="F8" i="62" l="1"/>
  <c r="F26" i="62"/>
  <c r="F31" i="62"/>
  <c r="F32" i="62"/>
  <c r="F33" i="62"/>
  <c r="F34" i="62"/>
  <c r="F7" i="62"/>
  <c r="E51" i="32" l="1"/>
  <c r="F51" i="32" s="1"/>
  <c r="E50" i="32"/>
  <c r="F50" i="32" s="1"/>
  <c r="E49" i="32"/>
  <c r="F49" i="32" s="1"/>
  <c r="E48" i="32"/>
  <c r="F48" i="32" s="1"/>
  <c r="E47" i="32"/>
  <c r="F47" i="32" s="1"/>
  <c r="E46" i="32"/>
  <c r="F46" i="32" s="1"/>
  <c r="E45" i="32"/>
  <c r="F45" i="32" s="1"/>
  <c r="E44" i="32"/>
  <c r="F44" i="32" s="1"/>
  <c r="E43" i="32"/>
  <c r="F43" i="32" s="1"/>
  <c r="E42" i="32"/>
  <c r="F42" i="32" s="1"/>
  <c r="E38" i="32"/>
  <c r="F38" i="32" s="1"/>
  <c r="E37" i="32"/>
  <c r="F37" i="32" s="1"/>
  <c r="E36" i="32"/>
  <c r="F36" i="32" s="1"/>
  <c r="E35" i="32"/>
  <c r="F35" i="32" s="1"/>
  <c r="E34" i="32"/>
  <c r="F34" i="32" s="1"/>
  <c r="G26" i="32"/>
  <c r="F33" i="40" l="1"/>
  <c r="F26" i="32"/>
  <c r="M35" i="67" l="1"/>
  <c r="X42" i="67" s="1"/>
  <c r="L35" i="67"/>
  <c r="W42" i="67" s="1"/>
  <c r="Y45" i="67" l="1"/>
  <c r="W45" i="67"/>
  <c r="S45" i="67"/>
  <c r="R45" i="67"/>
  <c r="Q45" i="67"/>
  <c r="P45" i="67"/>
  <c r="O45" i="67"/>
  <c r="N45" i="67"/>
  <c r="AD35" i="67"/>
  <c r="AC35" i="67"/>
  <c r="AB35" i="67"/>
  <c r="AA35" i="67"/>
  <c r="Z35" i="67"/>
  <c r="Y35" i="67"/>
  <c r="X35" i="67"/>
  <c r="W35" i="67"/>
  <c r="V35" i="67"/>
  <c r="U35" i="67"/>
  <c r="T35" i="67"/>
  <c r="S35" i="67"/>
  <c r="M45" i="67" s="1"/>
  <c r="Q35" i="67"/>
  <c r="P35" i="67"/>
  <c r="O35" i="67"/>
  <c r="N35" i="67"/>
  <c r="K35" i="67"/>
  <c r="J35" i="67"/>
  <c r="I35" i="67"/>
  <c r="H35" i="67"/>
  <c r="G35" i="67"/>
  <c r="F35" i="67"/>
  <c r="V42" i="67" s="1"/>
  <c r="V45" i="67" s="1"/>
  <c r="E35" i="67"/>
  <c r="U42" i="67" s="1"/>
  <c r="U45" i="67" s="1"/>
  <c r="G53" i="32" l="1"/>
  <c r="I54" i="32" s="1"/>
  <c r="F84" i="44"/>
  <c r="F72" i="44"/>
  <c r="F69" i="44"/>
  <c r="F68" i="44"/>
  <c r="F67" i="44"/>
  <c r="F66" i="44"/>
  <c r="F65" i="44"/>
  <c r="F64" i="44"/>
  <c r="F60" i="44"/>
  <c r="F58" i="44"/>
  <c r="D53" i="44"/>
  <c r="D54" i="44" s="1"/>
  <c r="F54" i="44" s="1"/>
  <c r="D52" i="44"/>
  <c r="F52" i="44" s="1"/>
  <c r="F49" i="44"/>
  <c r="D48" i="44"/>
  <c r="F48" i="44" s="1"/>
  <c r="F45" i="44"/>
  <c r="F44" i="44"/>
  <c r="F43" i="44"/>
  <c r="D41" i="44"/>
  <c r="F41" i="44" s="1"/>
  <c r="D39" i="44"/>
  <c r="F39" i="44" s="1"/>
  <c r="F35" i="44"/>
  <c r="D34" i="44"/>
  <c r="F34" i="44" s="1"/>
  <c r="F33" i="44"/>
  <c r="D33" i="44"/>
  <c r="D30" i="44"/>
  <c r="F30" i="44" s="1"/>
  <c r="D28" i="44"/>
  <c r="F28" i="44" s="1"/>
  <c r="D27" i="44"/>
  <c r="F27" i="44" s="1"/>
  <c r="D25" i="44"/>
  <c r="F25" i="44" s="1"/>
  <c r="D24" i="44"/>
  <c r="F24" i="44" s="1"/>
  <c r="D23" i="44"/>
  <c r="F23" i="44" s="1"/>
  <c r="D22" i="44"/>
  <c r="F22" i="44" s="1"/>
  <c r="D21" i="44"/>
  <c r="F21" i="44" s="1"/>
  <c r="D20" i="44"/>
  <c r="F20" i="44" s="1"/>
  <c r="F53" i="44" l="1"/>
  <c r="D31" i="44"/>
  <c r="F31" i="44" s="1"/>
  <c r="F74" i="44" s="1"/>
  <c r="D24" i="58" l="1"/>
  <c r="F32" i="58"/>
  <c r="D53" i="32"/>
  <c r="F54" i="32" s="1"/>
  <c r="E26" i="32" l="1"/>
  <c r="D26" i="32"/>
  <c r="D28" i="62"/>
  <c r="D27" i="62"/>
  <c r="F27" i="62" s="1"/>
  <c r="D25" i="62"/>
  <c r="F25" i="62" s="1"/>
  <c r="D24" i="62"/>
  <c r="F24" i="62" s="1"/>
  <c r="D23" i="62"/>
  <c r="F23" i="62" s="1"/>
  <c r="D22" i="62"/>
  <c r="F22" i="62" s="1"/>
  <c r="D21" i="62"/>
  <c r="F21" i="62" s="1"/>
  <c r="D20" i="62"/>
  <c r="F20" i="62" s="1"/>
  <c r="D19" i="62"/>
  <c r="F19" i="62" s="1"/>
  <c r="D17" i="62"/>
  <c r="D16" i="62"/>
  <c r="F16" i="62" s="1"/>
  <c r="D15" i="62"/>
  <c r="F15" i="62" s="1"/>
  <c r="D14" i="62"/>
  <c r="F14" i="62" s="1"/>
  <c r="D13" i="62"/>
  <c r="F13" i="62" s="1"/>
  <c r="D12" i="62"/>
  <c r="F12" i="62" s="1"/>
  <c r="D11" i="62"/>
  <c r="F11" i="62" s="1"/>
  <c r="D10" i="62"/>
  <c r="F10" i="62" s="1"/>
  <c r="D9" i="62"/>
  <c r="F9" i="62" s="1"/>
  <c r="F51" i="61"/>
  <c r="F21" i="40"/>
  <c r="F20" i="40"/>
  <c r="F19" i="40"/>
  <c r="F22" i="40" s="1"/>
  <c r="F18" i="40"/>
  <c r="D30" i="62" l="1"/>
  <c r="F30" i="62" s="1"/>
  <c r="F28" i="62"/>
  <c r="D18" i="62"/>
  <c r="F18" i="62" s="1"/>
  <c r="F17" i="62"/>
  <c r="F35" i="62" s="1"/>
  <c r="F43" i="62" s="1"/>
  <c r="D29" i="62"/>
  <c r="F29" i="62" s="1"/>
  <c r="I26" i="32"/>
  <c r="H26" i="32"/>
  <c r="F39" i="62"/>
  <c r="F40" i="62" s="1"/>
  <c r="F48" i="61"/>
  <c r="F49" i="61" s="1"/>
  <c r="F28" i="58"/>
  <c r="F29" i="58" s="1"/>
  <c r="D45" i="61"/>
  <c r="F45" i="61" s="1"/>
  <c r="F46" i="61" s="1"/>
  <c r="F41" i="61"/>
  <c r="F40" i="61"/>
  <c r="F39" i="61"/>
  <c r="F38" i="61"/>
  <c r="F37" i="61"/>
  <c r="F42" i="61" s="1"/>
  <c r="F36" i="61"/>
  <c r="F35" i="61"/>
  <c r="F34" i="61"/>
  <c r="F33" i="61"/>
  <c r="F32" i="61"/>
  <c r="F29" i="61"/>
  <c r="F28" i="61"/>
  <c r="F27" i="61"/>
  <c r="F26" i="61"/>
  <c r="F25" i="61"/>
  <c r="F24" i="61"/>
  <c r="F23" i="61"/>
  <c r="F22" i="61"/>
  <c r="F21" i="61"/>
  <c r="F20" i="61"/>
  <c r="F16" i="61"/>
  <c r="F15" i="61"/>
  <c r="F14" i="61"/>
  <c r="F13" i="61"/>
  <c r="F12" i="61"/>
  <c r="F11" i="61"/>
  <c r="F10" i="61"/>
  <c r="F9" i="61"/>
  <c r="F8" i="61"/>
  <c r="F7" i="61"/>
  <c r="F24" i="58"/>
  <c r="F25" i="58" s="1"/>
  <c r="F20" i="58"/>
  <c r="F19" i="58"/>
  <c r="F18" i="58"/>
  <c r="F17" i="58"/>
  <c r="F16" i="58"/>
  <c r="F15" i="58"/>
  <c r="F14" i="58"/>
  <c r="F13" i="58"/>
  <c r="F12" i="58"/>
  <c r="F11" i="58"/>
  <c r="F10" i="58"/>
  <c r="F7" i="58"/>
  <c r="F8" i="58" s="1"/>
  <c r="F30" i="55"/>
  <c r="F31" i="55" s="1"/>
  <c r="F27" i="55"/>
  <c r="F28" i="55" s="1"/>
  <c r="F23" i="55"/>
  <c r="F22" i="55"/>
  <c r="F21" i="55"/>
  <c r="F20" i="55"/>
  <c r="F16" i="55"/>
  <c r="F15" i="55"/>
  <c r="F14" i="55"/>
  <c r="F13" i="55"/>
  <c r="F12" i="55"/>
  <c r="F11" i="55"/>
  <c r="F10" i="55"/>
  <c r="F9" i="55"/>
  <c r="F8" i="55"/>
  <c r="F7" i="55"/>
  <c r="F43" i="54"/>
  <c r="F44" i="54" s="1"/>
  <c r="F49" i="54" s="1"/>
  <c r="F39" i="54"/>
  <c r="F38" i="54"/>
  <c r="F37" i="54"/>
  <c r="F36" i="54"/>
  <c r="F35" i="54"/>
  <c r="F34" i="54"/>
  <c r="F33" i="54"/>
  <c r="F32" i="54"/>
  <c r="F29" i="54"/>
  <c r="F28" i="54"/>
  <c r="F27" i="54"/>
  <c r="F26" i="54"/>
  <c r="F25" i="54"/>
  <c r="D24" i="54"/>
  <c r="F24" i="54" s="1"/>
  <c r="F23" i="54"/>
  <c r="F22" i="54"/>
  <c r="F21" i="54"/>
  <c r="F20" i="54"/>
  <c r="F16" i="54"/>
  <c r="F15" i="54"/>
  <c r="F14" i="54"/>
  <c r="F13" i="54"/>
  <c r="D12" i="54"/>
  <c r="F12" i="54" s="1"/>
  <c r="D11" i="54"/>
  <c r="F11" i="54" s="1"/>
  <c r="F10" i="54"/>
  <c r="F9" i="54"/>
  <c r="F8" i="54"/>
  <c r="F7" i="54"/>
  <c r="F44" i="62" l="1"/>
  <c r="F46" i="62" s="1"/>
  <c r="E39" i="32"/>
  <c r="F39" i="32" s="1"/>
  <c r="F17" i="61"/>
  <c r="F30" i="61"/>
  <c r="F21" i="58"/>
  <c r="F24" i="55"/>
  <c r="F17" i="55"/>
  <c r="F33" i="55" s="1"/>
  <c r="F17" i="54"/>
  <c r="F40" i="54"/>
  <c r="O33" i="32" s="1"/>
  <c r="N33" i="32" s="1"/>
  <c r="F30" i="54"/>
  <c r="F48" i="54" l="1"/>
  <c r="F47" i="54"/>
  <c r="F51" i="54" s="1"/>
  <c r="I33" i="32"/>
  <c r="H33" i="32" s="1"/>
  <c r="F81" i="44" l="1"/>
  <c r="F82" i="44" s="1"/>
  <c r="F30" i="40"/>
  <c r="F31" i="40" s="1"/>
  <c r="F49" i="39"/>
  <c r="F50" i="39" s="1"/>
  <c r="F35" i="38"/>
  <c r="F36" i="38" s="1"/>
  <c r="F48" i="33"/>
  <c r="F49" i="33" s="1"/>
  <c r="F55" i="33" s="1"/>
  <c r="F37" i="17"/>
  <c r="F38" i="17" s="1"/>
  <c r="F44" i="17" s="1"/>
  <c r="D77" i="44" l="1"/>
  <c r="F77" i="44"/>
  <c r="F78" i="44" s="1"/>
  <c r="D12" i="44"/>
  <c r="F12" i="44" s="1"/>
  <c r="D9" i="44"/>
  <c r="D11" i="44" s="1"/>
  <c r="D8" i="44"/>
  <c r="F8" i="44" s="1"/>
  <c r="F15" i="44"/>
  <c r="F14" i="44"/>
  <c r="F13" i="44"/>
  <c r="F10" i="44"/>
  <c r="F7" i="44"/>
  <c r="F11" i="44" l="1"/>
  <c r="F9" i="44"/>
  <c r="F32" i="36"/>
  <c r="F31" i="36"/>
  <c r="F30" i="36"/>
  <c r="F29" i="36"/>
  <c r="D26" i="36"/>
  <c r="D28" i="36" s="1"/>
  <c r="F28" i="36" s="1"/>
  <c r="D25" i="36"/>
  <c r="D27" i="36" s="1"/>
  <c r="F27" i="36" s="1"/>
  <c r="F24" i="36"/>
  <c r="D23" i="36"/>
  <c r="F23" i="36" s="1"/>
  <c r="D22" i="36"/>
  <c r="F22" i="36" s="1"/>
  <c r="D21" i="36"/>
  <c r="F21" i="36" s="1"/>
  <c r="D20" i="36"/>
  <c r="F20" i="36" s="1"/>
  <c r="D19" i="36"/>
  <c r="F19" i="36" s="1"/>
  <c r="D18" i="36"/>
  <c r="F18" i="36" s="1"/>
  <c r="D17" i="36"/>
  <c r="F17" i="36" s="1"/>
  <c r="D15" i="36"/>
  <c r="F15" i="36" s="1"/>
  <c r="D14" i="36"/>
  <c r="F14" i="36" s="1"/>
  <c r="D13" i="36"/>
  <c r="F13" i="36" s="1"/>
  <c r="D12" i="36"/>
  <c r="F12" i="36" s="1"/>
  <c r="D11" i="36"/>
  <c r="F11" i="36" s="1"/>
  <c r="D10" i="36"/>
  <c r="F10" i="36" s="1"/>
  <c r="D9" i="36"/>
  <c r="F9" i="36" s="1"/>
  <c r="D8" i="36"/>
  <c r="F8" i="36" s="1"/>
  <c r="D7" i="36"/>
  <c r="F7" i="36" s="1"/>
  <c r="F6" i="36"/>
  <c r="F33" i="39"/>
  <c r="F32" i="39"/>
  <c r="F31" i="39"/>
  <c r="F30" i="39"/>
  <c r="D27" i="39"/>
  <c r="F27" i="39" s="1"/>
  <c r="D26" i="39"/>
  <c r="D28" i="39" s="1"/>
  <c r="F28" i="39" s="1"/>
  <c r="F25" i="39"/>
  <c r="D24" i="39"/>
  <c r="F24" i="39" s="1"/>
  <c r="D23" i="39"/>
  <c r="F23" i="39" s="1"/>
  <c r="D22" i="39"/>
  <c r="F22" i="39" s="1"/>
  <c r="D21" i="39"/>
  <c r="F21" i="39" s="1"/>
  <c r="D20" i="39"/>
  <c r="F20" i="39" s="1"/>
  <c r="D19" i="39"/>
  <c r="F19" i="39" s="1"/>
  <c r="D18" i="39"/>
  <c r="F18" i="39" s="1"/>
  <c r="D16" i="39"/>
  <c r="F16" i="39" s="1"/>
  <c r="D15" i="39"/>
  <c r="F15" i="39" s="1"/>
  <c r="D14" i="39"/>
  <c r="F14" i="39" s="1"/>
  <c r="D13" i="39"/>
  <c r="F13" i="39" s="1"/>
  <c r="D12" i="39"/>
  <c r="F12" i="39" s="1"/>
  <c r="D11" i="39"/>
  <c r="F11" i="39" s="1"/>
  <c r="D10" i="39"/>
  <c r="F10" i="39" s="1"/>
  <c r="D9" i="39"/>
  <c r="F9" i="39" s="1"/>
  <c r="D8" i="39"/>
  <c r="F8" i="39" s="1"/>
  <c r="F7" i="39"/>
  <c r="D29" i="39" l="1"/>
  <c r="F29" i="39" s="1"/>
  <c r="D16" i="36"/>
  <c r="F16" i="36" s="1"/>
  <c r="F16" i="44"/>
  <c r="F25" i="36"/>
  <c r="F26" i="36"/>
  <c r="D17" i="39"/>
  <c r="F17" i="39" s="1"/>
  <c r="F26" i="39"/>
  <c r="F34" i="39" l="1"/>
  <c r="E41" i="32" s="1"/>
  <c r="F41" i="32" s="1"/>
  <c r="F33" i="36"/>
  <c r="E40" i="32" s="1"/>
  <c r="F40" i="32" s="1"/>
  <c r="D26" i="40"/>
  <c r="F26" i="40" s="1"/>
  <c r="F27" i="40" s="1"/>
  <c r="D12" i="40"/>
  <c r="F12" i="40" s="1"/>
  <c r="D8" i="40"/>
  <c r="F8" i="40" s="1"/>
  <c r="F15" i="40"/>
  <c r="F14" i="40"/>
  <c r="F13" i="40"/>
  <c r="F10" i="40"/>
  <c r="D9" i="40"/>
  <c r="D11" i="40" s="1"/>
  <c r="F11" i="40" s="1"/>
  <c r="F7" i="40"/>
  <c r="D20" i="33"/>
  <c r="F35" i="39" l="1"/>
  <c r="F56" i="39" s="1"/>
  <c r="F34" i="36"/>
  <c r="F51" i="36" s="1"/>
  <c r="F9" i="40"/>
  <c r="F16" i="40" s="1"/>
  <c r="B64" i="39"/>
  <c r="B63" i="39"/>
  <c r="B62" i="39"/>
  <c r="B61" i="39"/>
  <c r="F27" i="38"/>
  <c r="D21" i="38"/>
  <c r="F21" i="38" s="1"/>
  <c r="D22" i="38"/>
  <c r="F22" i="38" s="1"/>
  <c r="D12" i="38"/>
  <c r="F12" i="38" s="1"/>
  <c r="D9" i="38"/>
  <c r="D11" i="38" s="1"/>
  <c r="D8" i="38"/>
  <c r="F8" i="38" s="1"/>
  <c r="D31" i="38"/>
  <c r="F31" i="38" s="1"/>
  <c r="F32" i="38" s="1"/>
  <c r="F26" i="38"/>
  <c r="F25" i="38"/>
  <c r="F24" i="38"/>
  <c r="F23" i="38"/>
  <c r="F20" i="38"/>
  <c r="F19" i="38"/>
  <c r="F18" i="38"/>
  <c r="F15" i="38"/>
  <c r="F14" i="38"/>
  <c r="F13" i="38"/>
  <c r="F10" i="38"/>
  <c r="F7" i="38"/>
  <c r="B43" i="38"/>
  <c r="B44" i="38"/>
  <c r="B45" i="38"/>
  <c r="B46" i="38"/>
  <c r="B47" i="38"/>
  <c r="F28" i="38" l="1"/>
  <c r="F11" i="38"/>
  <c r="F9" i="38"/>
  <c r="F53" i="32" l="1"/>
  <c r="F55" i="32" s="1"/>
  <c r="F56" i="32" s="1"/>
  <c r="F16" i="38"/>
  <c r="F38" i="38" s="1"/>
  <c r="F42" i="33" l="1"/>
  <c r="D37" i="33"/>
  <c r="F37" i="33" s="1"/>
  <c r="D36" i="33"/>
  <c r="F36" i="33" s="1"/>
  <c r="D34" i="33"/>
  <c r="F34" i="33" s="1"/>
  <c r="D33" i="33"/>
  <c r="F33" i="33" s="1"/>
  <c r="D25" i="33"/>
  <c r="F25" i="33" s="1"/>
  <c r="D24" i="33"/>
  <c r="F24" i="33" s="1"/>
  <c r="D23" i="33"/>
  <c r="F23" i="33" s="1"/>
  <c r="F20" i="33"/>
  <c r="D11" i="33"/>
  <c r="F11" i="33" s="1"/>
  <c r="D8" i="33"/>
  <c r="F8" i="33" s="1"/>
  <c r="F7" i="33"/>
  <c r="F41" i="33"/>
  <c r="F40" i="33"/>
  <c r="F39" i="33"/>
  <c r="F38" i="33"/>
  <c r="F35" i="33"/>
  <c r="F32" i="33"/>
  <c r="F31" i="33"/>
  <c r="F28" i="33"/>
  <c r="F27" i="33"/>
  <c r="F26" i="33"/>
  <c r="F22" i="33"/>
  <c r="F21" i="33"/>
  <c r="F19" i="33"/>
  <c r="F15" i="33"/>
  <c r="F13" i="33"/>
  <c r="F12" i="33"/>
  <c r="F9" i="33"/>
  <c r="F6" i="33"/>
  <c r="F32" i="17"/>
  <c r="F33" i="17"/>
  <c r="F31" i="17"/>
  <c r="F30" i="17"/>
  <c r="D10" i="17"/>
  <c r="F10" i="17" s="1"/>
  <c r="F27" i="17"/>
  <c r="F26" i="17"/>
  <c r="D21" i="17"/>
  <c r="D20" i="17"/>
  <c r="D11" i="17"/>
  <c r="F45" i="33" l="1"/>
  <c r="F54" i="33" s="1"/>
  <c r="D10" i="33"/>
  <c r="F10" i="33" s="1"/>
  <c r="F16" i="33" s="1"/>
  <c r="F52" i="33" s="1"/>
  <c r="F29" i="33"/>
  <c r="F53" i="33" s="1"/>
  <c r="F34" i="17"/>
  <c r="F57" i="33" l="1"/>
  <c r="C7" i="68" s="1"/>
  <c r="O32" i="32"/>
  <c r="N32" i="32" s="1"/>
  <c r="T31" i="32"/>
  <c r="U31" i="32" s="1"/>
  <c r="F43" i="17"/>
  <c r="I32" i="32"/>
  <c r="H32" i="32" s="1"/>
  <c r="F48" i="36"/>
  <c r="F49" i="36" l="1"/>
  <c r="F53" i="36" s="1"/>
  <c r="F20" i="17"/>
  <c r="F21" i="17"/>
  <c r="F25" i="17"/>
  <c r="F9" i="17"/>
  <c r="F6" i="17"/>
  <c r="F24" i="17"/>
  <c r="F23" i="17"/>
  <c r="F14" i="17"/>
  <c r="F19" i="17"/>
  <c r="F22" i="17"/>
  <c r="F13" i="17"/>
  <c r="F11" i="17"/>
  <c r="F8" i="17"/>
  <c r="F7" i="17"/>
  <c r="F12" i="17"/>
  <c r="F16" i="17" l="1"/>
  <c r="F28" i="17"/>
  <c r="O31" i="32" l="1"/>
  <c r="F42" i="17"/>
  <c r="I31" i="32"/>
  <c r="H31" i="32" s="1"/>
  <c r="F41" i="17"/>
  <c r="F46" i="17" s="1"/>
  <c r="C6" i="68" s="1"/>
  <c r="C12" i="68" s="1"/>
  <c r="N31" i="32" l="1"/>
  <c r="O53" i="32"/>
  <c r="O55" i="32" s="1"/>
  <c r="O56" i="32" s="1"/>
  <c r="I53" i="32"/>
  <c r="I55" i="32" s="1"/>
  <c r="I56" i="32" s="1"/>
</calcChain>
</file>

<file path=xl/sharedStrings.xml><?xml version="1.0" encoding="utf-8"?>
<sst xmlns="http://schemas.openxmlformats.org/spreadsheetml/2006/main" count="1604" uniqueCount="512">
  <si>
    <t>Project:</t>
  </si>
  <si>
    <t>Location:</t>
  </si>
  <si>
    <t>No</t>
  </si>
  <si>
    <t>Unit</t>
  </si>
  <si>
    <t>Amount USD</t>
  </si>
  <si>
    <t xml:space="preserve">Company: </t>
  </si>
  <si>
    <t>Representative:</t>
  </si>
  <si>
    <t>Signature:</t>
  </si>
  <si>
    <t>Stamp:</t>
  </si>
  <si>
    <t>Item</t>
  </si>
  <si>
    <t>Description</t>
  </si>
  <si>
    <t>Quantity</t>
  </si>
  <si>
    <t xml:space="preserve">Rate USD </t>
  </si>
  <si>
    <t>m2</t>
  </si>
  <si>
    <t xml:space="preserve">Supply materials and install 20x200mm timber fascia board nailed on rafter ends and painted in approved egg shell paint. </t>
  </si>
  <si>
    <t>m3</t>
  </si>
  <si>
    <t>lsm</t>
  </si>
  <si>
    <t>m</t>
  </si>
  <si>
    <t xml:space="preserve">carefully scrap any damaged plaster on walls, repair and apply 3 coats of emulsion paint on internal and external walls. Colour to be as approved by SCI/MoECHE engineers. </t>
  </si>
  <si>
    <t>no</t>
  </si>
  <si>
    <t xml:space="preserve">Supply materials and install 5mm prepainted stripped ceiling boards nailed on 40x40mm timber brandering at 600mm spacing. </t>
  </si>
  <si>
    <t xml:space="preserve">Replace old steel doors with new ones made of 1.5mm MS plate on 40x30x3mm steel box frame and 40x40x3mm angle lines as outer frame fixed with 6 dove tailed wall bars of similar size and industrial hinges. All painted with antirust primer and gloss paint. Door overall size 1.2x2.1m.  </t>
  </si>
  <si>
    <t>A</t>
  </si>
  <si>
    <t>Electrical installation works in classrooms including wiring, ducting, lights, sockets and ceiling fans in classrooms</t>
  </si>
  <si>
    <t>B</t>
  </si>
  <si>
    <t xml:space="preserve">Supply and install squating type WCs and improvement of soil water discharge pipes </t>
  </si>
  <si>
    <t>Supply and installation of 0.9x2.1m alluminium doors of approved quality by SCI engineers</t>
  </si>
  <si>
    <t>C</t>
  </si>
  <si>
    <t xml:space="preserve">Allow for plubming and drainage pipes improvement including side water taps.   </t>
  </si>
  <si>
    <t>sets</t>
  </si>
  <si>
    <t xml:space="preserve">Supply materials and install 26 gauge aluminium roofing sheets or equal and approved corrosion resistant roofing sheets strictly approved by SCI engineer with the provision of manufacturer data sheets. </t>
  </si>
  <si>
    <t xml:space="preserve">Supply and install 2 handwashing points for each set of toilets </t>
  </si>
  <si>
    <t>FURNITURE PROVISION</t>
  </si>
  <si>
    <t>Subtotal for furniture provision</t>
  </si>
  <si>
    <t>Subtotal for toilets rehab</t>
  </si>
  <si>
    <t>#</t>
  </si>
  <si>
    <t>School name</t>
  </si>
  <si>
    <t>Classrooms</t>
  </si>
  <si>
    <t>New</t>
  </si>
  <si>
    <t>Rehab</t>
  </si>
  <si>
    <t>Toilets</t>
  </si>
  <si>
    <t>SUMMARY SHEET</t>
  </si>
  <si>
    <t xml:space="preserve">Library </t>
  </si>
  <si>
    <t>Solar</t>
  </si>
  <si>
    <t>New ECE</t>
  </si>
  <si>
    <t>Compound improvement</t>
  </si>
  <si>
    <t>Classroom Furniture</t>
  </si>
  <si>
    <t xml:space="preserve">Totals </t>
  </si>
  <si>
    <t xml:space="preserve">Cost estimate USD </t>
  </si>
  <si>
    <t>GRAND TOTAL  FOR WORKS</t>
  </si>
  <si>
    <t>D</t>
  </si>
  <si>
    <t>E</t>
  </si>
  <si>
    <t>NO</t>
  </si>
  <si>
    <t xml:space="preserve">Allow for construction of access ramps of 1.2m wide with stainless steel guardrails and built as per the design documents to the required slope of not exceeding 1 in 15. </t>
  </si>
  <si>
    <t>VISIBILITY</t>
  </si>
  <si>
    <t xml:space="preserve">Paint SCI, GPE and MOECHE logos on the newly constructed classrooms and other facilities.  Size should be (3m wide x3m long with details as to be provided by SCI communication department). </t>
  </si>
  <si>
    <t xml:space="preserve">Subtotal for visibility </t>
  </si>
  <si>
    <t>GPE/STG</t>
  </si>
  <si>
    <t>Work</t>
  </si>
  <si>
    <t xml:space="preserve">Work: </t>
  </si>
  <si>
    <t>Subtotal for 7 classrooms rehab</t>
  </si>
  <si>
    <t>Water tanks</t>
  </si>
  <si>
    <t>Rehab in Rugta primary school</t>
  </si>
  <si>
    <t xml:space="preserve">Carefully remove existing roofing sheets from 5 class rooms. Repair any damage on timber structure by nailing and repairing. </t>
  </si>
  <si>
    <t xml:space="preserve">Replace old steel doors with new ones made of 1.5mm MS plate on 40x30x3mm steel box frame and 40x40x3mm angle lines as outer frame fixed with 6 dove tailed wall bars of similar size and industrial hinges. All painted with antirust primer and gloss paint. Door overall size 1.1x2.1m.  </t>
  </si>
  <si>
    <t xml:space="preserve">Replace old steel windows with new type made of 1.5mm MS plate on 25x25x3mm steel box frames and outer frame of 25x25x3mm steel angle lines fixed with 6 dove taled angle line walls bars of same size and heavy duty hinges. Including security grill made of 20x20x2mm steel boxes at 15cm spacing and heavy duty diamond mesh plate. Window overall size 1.2x1.5m all painted with anti-corrosion paint. </t>
  </si>
  <si>
    <t xml:space="preserve">Carefully remove existing roofing sheets from 3 class rooms. Repair any damage on timber structure by nailing and repairing. </t>
  </si>
  <si>
    <t xml:space="preserve">Hack out damaged floor screed and disposed off. Strip,raise the floor 15cm, backfill it by sectected filling material (carro-kawo jey ubadan)level and compact the ground to received RCC concrete. </t>
  </si>
  <si>
    <t xml:space="preserve">Cast Rcc 80mm reinforced concrete slab including 8mm steel reinforcement of 20x20cm spacing. With mix ration of 1:2:4. including (Jey bariis) Concrete shall be finished smoothly with concrete helicopter to SCI engineer approval. </t>
  </si>
  <si>
    <t>Subtotal for 5 classrooms rehab</t>
  </si>
  <si>
    <t xml:space="preserve">Scrap and repair any damages on external walls of 4 existing toilets for boys and apply 3 coats of exterior paint of approved colour. </t>
  </si>
  <si>
    <t xml:space="preserve">Scrap and repair any damages on internal walls of 4 existing toilets for boys and apply 2 coats of emulsion paint and 2 coats of glossy paint on internal walls.  </t>
  </si>
  <si>
    <t>WASH FACILITIES (4Boys toilets and rehabilitation of existing Septic Tank)</t>
  </si>
  <si>
    <t>lms</t>
  </si>
  <si>
    <t xml:space="preserve">Disloge the existing septic tanks(3x4.5m and 3m depth) and safely dispose the extrita and reconstruct the stone wall and construct Rcc slab 20cm thick with reinforcement of R12 both direction 15cm spacing. This inclusive for all cost involving.(Form work, plastic sheet for concrete bleeding, labour and concrete materials).the police is next to location supplier should get approval from the police station for site construction and his staff clearance. </t>
  </si>
  <si>
    <t>Rahabilitate the Communal hand-washing (Replace water taps and repair water connection)</t>
  </si>
  <si>
    <t>Hack out damaged  veranda floor screed and disposed off. Strip, level and compact the ground to received RCC concrete. Pour and vibrate 80mm reinforced concrete slab including 8mm steel reinforcement of 20x20cm spacing. Concrete shall be finished smoothly with concrete helicopter to SCI engineer approval. Repair the minor floor cracker, by hacking the cracked area.in rooms and verandah.in side the rooms floors area.</t>
  </si>
  <si>
    <t>REHABILITATION OF ELEVATED WATER TANK</t>
  </si>
  <si>
    <t>Repair the elevated water tank by identifying the source of water leakage. Hack the areas showing the leakage of the tank wall and base slabe and use special water poor materials. Also repiar the elevated water tanks column, remove all the cracks, treat the steel bars with unti rust painting, plaster it.</t>
  </si>
  <si>
    <t xml:space="preserve">carefully scrap any damaged plaster on walls, repair and apply 3 coats of emulsion paint on external walls. Colour to be as approved by SCI/MoECHE engineers. </t>
  </si>
  <si>
    <t xml:space="preserve">Repair the elevated water tank pipe connection, replace any damaged pipe, repair pipe connecting the tank and toilets and hand-washing </t>
  </si>
  <si>
    <t>Subtotal for Elevated water tank rehab =</t>
  </si>
  <si>
    <t xml:space="preserve">Supply of timber furniture sets for 5 classrooms containing the following:
- 1.2m long by 0.3m wide timber benches with a back rest all rendered to smooth finish and painted with either eggshell or clear furnish. 
- 1.2m long and 0.5m wide table with 4 partition lower shelves and pen holding strip all smoothly finished with eggshell paint or clear furnish. To SCI engineers approval. </t>
  </si>
  <si>
    <t>Classroom rehabilitations(5 in number) Block A as per attached view</t>
  </si>
  <si>
    <t xml:space="preserve"> Repair the minor floor cracker, by hacking the cracked area.in rooms and verandah.in side the rooms floors area.</t>
  </si>
  <si>
    <t xml:space="preserve">Replace old steel windows with new type made of 1.5mm MS plate on 25x25x3mm steel box frames and outer frame of 25x25x3mm steel angle lines fixed with 6 dove taled angle line walls bars of same size and heavy duty hinges. Including security grill made of 20x20x2mm steel boxes at 15cm spacing and heavy duty diamond mesh plate. Window overall size 1.2x1.5m,  all painted with anti-corrosion paint. </t>
  </si>
  <si>
    <t>Subtotal for 9 classrooms rehab</t>
  </si>
  <si>
    <t xml:space="preserve">Carefully remove existing roofing sheets and truss completely </t>
  </si>
  <si>
    <t xml:space="preserve">Supply materials  construct  roof truss structure (100x75, 150x50,50x50 and 200x25) for wooden and install 26 gauge aluminium roofing sheets or equal and approved corrosion resistant roofing sheets strictly approved by SCI engineer with the provision of manufacturer data sheets. </t>
  </si>
  <si>
    <t xml:space="preserve">Hack out damaged floor screed and disposed off. Strip  with Rcc 80mm reinforced concrete slab including 8mm steel reinforcement of 20x20ancm spacing. With mix ratio of 1:2:4. including (Jey bariis) Concrete shall be finished smoothly with concrete helicopter to SCI engineer approval. </t>
  </si>
  <si>
    <t>Construct the demolished front wall of prayer hall (10x3.2)m using hallow block of 40x20x16cm with mortar at joints. The block concrete should be strong to resist free falling of 1.7m. This includes plastering of the wall</t>
  </si>
  <si>
    <t xml:space="preserve">Demolishing of the internal wall of partialy demolished toilets including entrance wall from the school side as per SC engineers to position of and manage fitting the three toilets into avialable space </t>
  </si>
  <si>
    <t>Re-construct the interal wall of the toilets and external wall face main Tarmac road.using hallow blocks for internal wall use 17x38x16 and for external wall use 40x20x16cm</t>
  </si>
  <si>
    <t>Plastering wall of the toilet with motar ratio 1:3</t>
  </si>
  <si>
    <t xml:space="preserve">Supply and install squating type WCs and improvement of soil water discharge pipes.Allow for plubming and drainage pipes improvement including side water taps.   </t>
  </si>
  <si>
    <t xml:space="preserve">Hacking the surface ,Backfilling, level, compacting all the toilets surface area </t>
  </si>
  <si>
    <t xml:space="preserve">Suppling and isntalling not sliper floor tiles </t>
  </si>
  <si>
    <t xml:space="preserve">Construct new septic tanks(3x4.5x3)m. the septic tanks walls are masanory 40cm and slab is 20cm thick re-informce concrete with R12 both direction with 15cm spacing. This cost is inclusive for all the cost, materials, formwork and labour. The septic tank lid is 50cm square with removable handle </t>
  </si>
  <si>
    <t>Supply and install seramic hand washing</t>
  </si>
  <si>
    <t xml:space="preserve">Supply and install water pipe fittings </t>
  </si>
  <si>
    <t>Remarks and Comments</t>
  </si>
  <si>
    <t>Top soil stripping and removal of any debris away from the site</t>
  </si>
  <si>
    <t xml:space="preserve">Excavation for linear foundation strip of 50cm wide and 60cm minimum depth. And including column footings of 80x80cm and 1.2m depth. </t>
  </si>
  <si>
    <t>M3</t>
  </si>
  <si>
    <t xml:space="preserve">5cm plain concrete blinding to the bottom of strip foundation and column footings </t>
  </si>
  <si>
    <t>Construction of 40cm bushstone foundation 50cm below ground level and 40cm above ground level</t>
  </si>
  <si>
    <t xml:space="preserve">Construction of 20x40cm RCC plinth beam with 4No Y14 main rebars and Y8 strips of 20cm spacing and including formwork and all necessary fixing procedures. Concrete mix proportion of 1:2:4, cement, sand and coarse aggregates. </t>
  </si>
  <si>
    <t>70x70x30cm RCC column footings with Y12 steel reinforcement of 15cm spacing including formwork and other associated works. Concrete mix proportion of 1:2:4, cement, sand and coarse aggregates.</t>
  </si>
  <si>
    <t>20x20cm RCC column starters with 4Y14 main rebars and Y8 links of 20cm spacing and including formwork and other associated works. Concrete mix proportion of 1:2:4, cement, sand and coarse aggregates.</t>
  </si>
  <si>
    <t xml:space="preserve">Foundation backfilling with hardcore in 20cm hand packed layers. </t>
  </si>
  <si>
    <t>5cm compacted murram blinding</t>
  </si>
  <si>
    <t xml:space="preserve">1000G DPM Polythene sheet laid over compacted murram surface to receive concrete. </t>
  </si>
  <si>
    <t xml:space="preserve">8cm reinforced concrete ground floor slab with 6mm mild steel rebars at 20cm centers and including formwork.  Concrete surface to be strictly finished with concrete helicopter to SCI engineers approval. No further finishing shall be done on top of the concrete. </t>
  </si>
  <si>
    <t xml:space="preserve">construction of 20cm concrete hollow blocks with 12G hoop iron at alternate joints. </t>
  </si>
  <si>
    <t>20x15cm RCC beam below windows with Y12 main rebars and R6 links of 20cm spacing and including formwork and other associated works. Concrete mix proportion of 1:2:4, cement, sand and coarse aggregates.</t>
  </si>
  <si>
    <t>20x20cm RCC lintel beam with Y12 main rebars and R6 links of 20cm spacing and including formwork and other associated works. Concrete mix proportion of 1:2:4, cement, sand and coarse aggregates.</t>
  </si>
  <si>
    <t>20x30cm RCC ring beam with Y14 main rebars and R8 links of 20cm spacing and including formwork and other associated works. Concrete mix proportion of 1:2:4, cement, sand and coarse aggregates.</t>
  </si>
  <si>
    <t xml:space="preserve">Supply materials and install 26 gauge aluminium roofing sheets nailed with steel roofing nails including rubber washers. Cost to include timber structure frames made of 15x4cm for bottom cord, rafters and king post and 7x4cm struts and 8x8cm purlins all painted. Also add 2x20cm fascia board painted. </t>
  </si>
  <si>
    <t xml:space="preserve">Supply materials and install 5mm ceiling boards nailed on 4x4cm timber brandering at 60cm spacing and including cornice. </t>
  </si>
  <si>
    <t>Allow provisional sum for electricity installations including ducting, wiring and lights, sockets, ceiling fans and distribution board to SCI engineer's approval.</t>
  </si>
  <si>
    <t>20mm cement and sand plaster with mix ratio of 1:4 on internal wall surfaces</t>
  </si>
  <si>
    <t>20mm cement and sand plaster with mix ratio of 1:4 on external wall surfaces</t>
  </si>
  <si>
    <t xml:space="preserve">Apply one coat of white wash and 2 finishing coats of emulsion paint on internal wall surfaces. </t>
  </si>
  <si>
    <t xml:space="preserve">Apply white wash and 2 finishing coats of exterior paint on plastered external walls </t>
  </si>
  <si>
    <t xml:space="preserve">Steel doors made of 1.5mm MS plate on 40x30x3mm steel box frame and 40x40x3mm angle lines as outer frame fixed with 6 dove tailed wall bars of similar size and industrial hinges. All painted with antirust primer and gloss paint. Door overall size 1.2x2.1m.  </t>
  </si>
  <si>
    <t xml:space="preserve">Supply and install steel windows made of 1.5mm MS plate on 25x25x3mm steel box frames and outer frame of 25x25x3mm steel angle lines fixed with 6 dove taled angle line walls bars of same size and heavy duty hinges. Including security gril made of 20x20x2mm steel boxes at 15cm spacing and heavy duty diomond mesh plate. Window overall size 1.2x1.2m all painted with anti-corrosion paint. </t>
  </si>
  <si>
    <t>Supply and installation of 1.2x2.4m blackboard to SCI engineers approval</t>
  </si>
  <si>
    <t>NEW CLASSROOMS (2)</t>
  </si>
  <si>
    <t>Horseed Primary And Secondary</t>
  </si>
  <si>
    <t>Ex-Marine Primary And Secondary</t>
  </si>
  <si>
    <t>New Waamo Pry And Secondary</t>
  </si>
  <si>
    <t>Wamo Stadium Pry And Secondary</t>
  </si>
  <si>
    <t>Halagan Primary&amp;Secondry School</t>
  </si>
  <si>
    <t>Madina Primary And Secondary</t>
  </si>
  <si>
    <t>Midnimo Primary And Secondary</t>
  </si>
  <si>
    <t>Al Huda Wa Nuur Primary School</t>
  </si>
  <si>
    <t>Qarsa Primary School</t>
  </si>
  <si>
    <t>Ahmed Gure Pry &amp; Secondary</t>
  </si>
  <si>
    <t>Badbaado Primary School</t>
  </si>
  <si>
    <t>Dalsan Primary School</t>
  </si>
  <si>
    <t>Jiroole Primary School</t>
  </si>
  <si>
    <t>Tanaad Ex-Koranuusale</t>
  </si>
  <si>
    <t>Gulwade Primary And Secondary</t>
  </si>
  <si>
    <t>Beder Primary School</t>
  </si>
  <si>
    <t>Ganaane Primary School</t>
  </si>
  <si>
    <t>Farjano Primary School</t>
  </si>
  <si>
    <t>Rugta Primary School</t>
  </si>
  <si>
    <t>Janaa Abdalle Primary School</t>
  </si>
  <si>
    <t xml:space="preserve">Buulo Haji Primary </t>
  </si>
  <si>
    <t>Horyaal Primary</t>
  </si>
  <si>
    <t>Ahmed Bin Hambal Primary</t>
  </si>
  <si>
    <t>Bilicsan Primary</t>
  </si>
  <si>
    <t>Iftin Primary</t>
  </si>
  <si>
    <t>Shabeley Primary</t>
  </si>
  <si>
    <t>Juba Primary</t>
  </si>
  <si>
    <t>Galol Yaryar</t>
  </si>
  <si>
    <t>Sr.No</t>
  </si>
  <si>
    <t>School Names</t>
  </si>
  <si>
    <t>1. GUULWADE SCHOOL</t>
  </si>
  <si>
    <t>2. JUBBA SCHOOL</t>
  </si>
  <si>
    <t>3. BADER SCHOOL</t>
  </si>
  <si>
    <t>4. AHMED GUREY SCHOOL</t>
  </si>
  <si>
    <t>5. MIDNIMO SCHOOL</t>
  </si>
  <si>
    <t>6. MADIINO SCHOOL</t>
  </si>
  <si>
    <t>7. HORYAAL SCHOOL</t>
  </si>
  <si>
    <t>8. EX-MIRINAYO SCHOOL</t>
  </si>
  <si>
    <t>9. BADBAADO SCHOOL</t>
  </si>
  <si>
    <t>Garaad wiil waal</t>
  </si>
  <si>
    <t>Wadajir Primary</t>
  </si>
  <si>
    <t xml:space="preserve">Classroom rehabilitations(5 in number) </t>
  </si>
  <si>
    <t>Fully close the opening of the tiolets external wall and within the toilets to make sure the privacy of the toilets user from inside and outside all four toilest</t>
  </si>
  <si>
    <t>Repair the blokade issue of the toilets and supply and install WC tye toilet sitting</t>
  </si>
  <si>
    <t>Remove and replace the Toilets roof  supply 26 gauge aluminium roofing sheets or equal and approved corrosion resistant roofing sheets strictly approved by SCI engineer</t>
  </si>
  <si>
    <t>Replace old steel doors with new ones made of 1.5mm MS plate on 40x30x3mm steel box frame and 40x40x3mm angle lines as outer frame fixed with 6 dove tailed wall bars of similar size and industrial hinges. All painted with antirust primer and gloss paint. Door overall size 1.1x2.1m. this includes other two class doors</t>
  </si>
  <si>
    <t xml:space="preserve"> Repair the minor floor cracker, by hacking the cracked area.in rooms and verandah.in side the rooms floors area.this includes other two class</t>
  </si>
  <si>
    <t>Iftin  primary school</t>
  </si>
  <si>
    <t xml:space="preserve">Carefully remove existing roofing sheets from 8 class rooms. Repair any damage on timber structure by nailing and repairing. </t>
  </si>
  <si>
    <t xml:space="preserve">Classroom rehabilitations(8 in number) </t>
  </si>
  <si>
    <t>Subtotal for 8 classrooms rehab</t>
  </si>
  <si>
    <t xml:space="preserve">Carefully remove the trees, dispose off debris away and clean the site in preparation for new constructions. This includes before and after construction completes cleaning </t>
  </si>
  <si>
    <t>Subtotal for  one new classroom</t>
  </si>
  <si>
    <t>Qarsa primary school</t>
  </si>
  <si>
    <t>SUBSTRUCTURE WORKS</t>
  </si>
  <si>
    <t xml:space="preserve">Earthworks and Excavations </t>
  </si>
  <si>
    <t xml:space="preserve">Clear site of all bushes, grab up roots before work commences and burn all arisings. Mobilize and transport all necessary materials on site. </t>
  </si>
  <si>
    <t>M2</t>
  </si>
  <si>
    <t>Excavate latrine pit of dimensions 2m wide by 3m long to depth of 5m from existing ground level.</t>
  </si>
  <si>
    <t>construction of 15cm thick of stone wall for four sides of pit latrine with dimension of 10m long and 5m deep.</t>
  </si>
  <si>
    <t xml:space="preserve">Excavate foundoutation trench with dimension of  (0.40m width x 0.3m deep x length). Remove away from the site all surplus and un necessary materials. </t>
  </si>
  <si>
    <t>Lay 50 mm blinding layer-1:2:4 concrete (40 mm aggregate size) under the rubble stone  foundation base as  directed by SCI Engineer.</t>
  </si>
  <si>
    <t xml:space="preserve">Construction of Rubble stone foundation, all joints between stone should filled with cement and sand with mortor ration of 1:4. (0.6m high x 0.4m wide x 36.1m length) 30cm above ground level, depends on the nature of the land. </t>
  </si>
  <si>
    <t>Concrete works</t>
  </si>
  <si>
    <t>15cm R.C (1:2:4 mix) in No.1. Pit slab with re-bars 4N0. Y12 &amp; R6 links @ 250 mm c/c. (0.40m x 0.15m). Concrete should be vibrated using by hand vibrated machine to remove air pockets/spaces. Curing should be 4 days ( twice each day). This includes two two ventilited pipe from the pit latrine.</t>
  </si>
  <si>
    <t>Hardcore filling</t>
  </si>
  <si>
    <t>200mm Return, fill and well ram selected excavated materials around foundations. Remove surplus excavated materials from site.</t>
  </si>
  <si>
    <t>200mm thick hardcore bed well compacted and levelled under floors and veranda.</t>
  </si>
  <si>
    <t>Floor Construction</t>
  </si>
  <si>
    <t>Cement and sand (mix 1:4) in 3cm thick screed bed trowelled hard and smooth to receive  floor tiles (measured separately).</t>
  </si>
  <si>
    <t>300x300x8mm thick non-slip ceramic floor tiles to latrine floor on cement and sand backing.</t>
  </si>
  <si>
    <t>300x300x8mm thick Ceramic wall tiles for internal latrine walls and hand washing areas, joints should be filled with 1:4 cement and sand and height should be 2m.</t>
  </si>
  <si>
    <t xml:space="preserve">Walling </t>
  </si>
  <si>
    <t>Construction of 150mm hallow block walling, bedded and jointed in cement and sand with ration of  (mix 1:4) mortar. The hieght up to 2.9m from the foundation level.</t>
  </si>
  <si>
    <t>Super structure concrete works.</t>
  </si>
  <si>
    <t>Construction of 15cm thick RCC lintel beams above the doors and windows for all walls both internal and external walls. The dimension should be ( 15cmx15cm) with ration of (1:2:4) with 4Y12 dia @20cm c/c. the staffs should be 6mm dia. Curing should be 3 days ( twice each day).</t>
  </si>
  <si>
    <t xml:space="preserve">Ramps and Stair Steps </t>
  </si>
  <si>
    <t>Construct of Gentle slope ramps. Dimension to be approved on site  Apply an 8cm concrete screed to the upper section of the ramp.</t>
  </si>
  <si>
    <t>LS</t>
  </si>
  <si>
    <t>Install stainless steel (Grade 304) handrails along the sides 
of the ramp. The height of the handrails to be approved on site.</t>
  </si>
  <si>
    <t>Construct stair steps adjacent to the entry of latrines. Stair tread should be 30cm and stair riser should be 15cm.</t>
  </si>
  <si>
    <t>ROOF WORKS</t>
  </si>
  <si>
    <t>Roofing with #28 guage pre-painted corrugated sheets and timber roof trussess c/c 2m. All roof trusses anchoredwith 6mm dia bars cated in the roof lintel and all joints of roof trusses and purloins to be tied together with a flat metal strip. Dimension: tie beam 2"x6", rafter 2"x4", purloins 2"x3", king post 2"x6" and all timber should be single pieces with no joints created by smaller peices fastered together.</t>
  </si>
  <si>
    <t xml:space="preserve">20 cm Fascia board around the four sides of the building. </t>
  </si>
  <si>
    <t>WALL FINISHES</t>
  </si>
  <si>
    <t>External &amp; internal plastering ,12 mm thick, cement / sand mix 1:3, with wood float finish.</t>
  </si>
  <si>
    <t>Apply two coats white wash and distemper paint the plastered wall surface.</t>
  </si>
  <si>
    <t>Apply two coats of distempering on all wall  faces both exterior and interior of wall surfaces. Type of painting to be approved by SCI Engineer.</t>
  </si>
  <si>
    <t>DOORS AND VENTILATIONS</t>
  </si>
  <si>
    <t>Metal doors</t>
  </si>
  <si>
    <t>Supply and fix double leafed metal doors (90x220)cm, complete with frame, hinges &amp; locks. The disabled latrine should be 1.2m wide.</t>
  </si>
  <si>
    <t>Vent Blocks</t>
  </si>
  <si>
    <t>Supply and fix pre-fabricated ventilation Blocks (400mm x 400mm) complete with wooden frame and fly-trap screen.</t>
  </si>
  <si>
    <t>PLUMPING WORKS</t>
  </si>
  <si>
    <t>Fittings</t>
  </si>
  <si>
    <t>20mm dia stailess steel Grab rail in Disbled WC</t>
  </si>
  <si>
    <t xml:space="preserve">Close coupled WC Twyfords makeor equal approved with necessary drainage piping and manholes to latrine pit. </t>
  </si>
  <si>
    <t xml:space="preserve">East type WC Pan Twyfords or equal approved and completed with necessary drainage piping work and manholes to the latrine pit. </t>
  </si>
  <si>
    <t>Hand wahing sink complete with necessary piping and joints. This should be child friendly use.</t>
  </si>
  <si>
    <t>Wall mounted Pegler tap or equal approved complete with necessary
piping and joints</t>
  </si>
  <si>
    <t xml:space="preserve">Allow for water connection and piping from the school storage tank, </t>
  </si>
  <si>
    <t>Lsm</t>
  </si>
  <si>
    <t xml:space="preserve">ELECTRICAL WORKS </t>
  </si>
  <si>
    <t xml:space="preserve">Allow for supply and installation of one lighting point and switch for each toilet. </t>
  </si>
  <si>
    <t>Subtotal for  Two new classroom</t>
  </si>
  <si>
    <t>Bilicsan primary school</t>
  </si>
  <si>
    <t>Badbaado primary school</t>
  </si>
  <si>
    <t>Rugta Primary school</t>
  </si>
  <si>
    <t>WASH FACILITIES (3Boys toilets and rehabilitation of existing Septic Tank)</t>
  </si>
  <si>
    <t xml:space="preserve">Classroom rehabilitations(9 in number) </t>
  </si>
  <si>
    <t xml:space="preserve">Carefully remove existing roofing sheets from 9 class rooms. Repair any damage on timber structure by nailing and repairing. </t>
  </si>
  <si>
    <t xml:space="preserve"> New wamo primary school</t>
  </si>
  <si>
    <t>WASH FACILITIES (4 Toilets and rehabilitatio)</t>
  </si>
  <si>
    <t>Rehab Horseed primary school</t>
  </si>
  <si>
    <t>Wamo st primary school</t>
  </si>
  <si>
    <t>Horseed primary school</t>
  </si>
  <si>
    <t>Halgan primary school</t>
  </si>
  <si>
    <t>Jiroole primary school</t>
  </si>
  <si>
    <t>Shabelley primary school</t>
  </si>
  <si>
    <t xml:space="preserve">Classroom rehabilitations(26 in number) </t>
  </si>
  <si>
    <t>Rehab Ahmed B Hamble primary school</t>
  </si>
  <si>
    <t xml:space="preserve"> Ahmed B Hamble primary school</t>
  </si>
  <si>
    <t xml:space="preserve">Carefully remove existing roofing sheets from 26 class rooms. Repair any damage on timber structure by nailing and repairing. </t>
  </si>
  <si>
    <t>Tanaad Primary school</t>
  </si>
  <si>
    <t>Galolyaryar Primary school</t>
  </si>
  <si>
    <t>Garaad wiil waal Primary school</t>
  </si>
  <si>
    <t>Wadajir Primary School</t>
  </si>
  <si>
    <t>Ganane pri. &amp; Secondary school</t>
  </si>
  <si>
    <t>Gulwade pri. &amp; Secondary school</t>
  </si>
  <si>
    <t>Jubba pri. &amp; Secondary school</t>
  </si>
  <si>
    <t>Beder pri. &amp; Secondary school</t>
  </si>
  <si>
    <t>Ahmed Gurey pri. &amp; Sec. school</t>
  </si>
  <si>
    <t>Midnimo pri. &amp; Secondary school</t>
  </si>
  <si>
    <t>Horyaal pri. &amp; Secondary school</t>
  </si>
  <si>
    <t>EX-Marine pri. &amp; Sec. school</t>
  </si>
  <si>
    <t>Lower Jubba-Kismayo</t>
  </si>
  <si>
    <t>Classroom rehabilitations(6 in number) Block C as per attached view</t>
  </si>
  <si>
    <t xml:space="preserve">Carefully remove existing roofing sheets from 6 class rooms. Repair any damage on timber structure by nailing and repairing. </t>
  </si>
  <si>
    <t>Repair the minor floor cracks, by hacking the cracked area.in rooms and verandah.in side the rooms floors area.</t>
  </si>
  <si>
    <t xml:space="preserve">Replace old steel windows with new type made of 1.5mm MS plate on 25x25x3mm steel box frames and outer frame of 25x25x3mm steel angle lines fixed with 6 dove taled angle line walls bars of same size and heavy duty hinges. Including security grill made of 20x20x2mm steel boxes at 15cm spacing and heavy duty diamond mesh plate. Window overall size 1.5x1.5m all painted with anti-corrosion paint. </t>
  </si>
  <si>
    <t>Supply and Install concrete blockboards size (3*1.4m) as per instructions engineer.</t>
  </si>
  <si>
    <t>Subtotal for 6 classrooms rehab</t>
  </si>
  <si>
    <t>Classroom rehabilitations(2 in number) Block D as per attached view</t>
  </si>
  <si>
    <t xml:space="preserve">Carefully remove existing roofing sheets from 2 class rooms. Repair any damage on timber structure by nailing and repairing. </t>
  </si>
  <si>
    <t>Repair the minor floor cracker, by hacking the cracked area.in rooms and verandah.in side the rooms floors area</t>
  </si>
  <si>
    <t>Electrical installation works in classrooms including wiring, ducting, lights, sockets and ceiling fans in classrooms.</t>
  </si>
  <si>
    <t>REHABILITATION WASH FACILITIES OF 5 EXISTING TOILETS (3 Girls, and 2 Boys )</t>
  </si>
  <si>
    <t xml:space="preserve">Scrap and repair any damages on external walls of 5 existing toilets and apply 3 coats of exterior paint of approved colour. </t>
  </si>
  <si>
    <t xml:space="preserve">Scrap and repair any damages on internal walls of 5 existing toilets  and apply 2 coats of emulsion paint and 2 coats of glossy paint on internal walls.  </t>
  </si>
  <si>
    <t>Supply and installation of 0.9x2.1m alluminium doors of approved quality by SCI engineers.</t>
  </si>
  <si>
    <t>Supply and install 2 handwashing points for each set of toilets.</t>
  </si>
  <si>
    <t>Rahabilitate the Communal hand-washing (Replace water taps and repair water connection).</t>
  </si>
  <si>
    <t>Rehab in Gulwade primary &amp; Secondary school</t>
  </si>
  <si>
    <t>Classroom rehabilitations(7 in number) Block A as per attached view</t>
  </si>
  <si>
    <t>Hack out damaged  veranda floor screed and disposed off. Strip, level and compact the ground to received RCC concrete. Pour and vibrate 80mm reinforced concrete slab including 6mm steel reinforcement of 20x20cm spacing. Concrete shall be finished smoothly with concrete helicopter to SCI engineer approval. Repair the minor floor cracker, by hacking the cracked area.in rooms and verandah.in side the rooms floors area.</t>
  </si>
  <si>
    <t>Construction of 600mm height which consists of triangular basement ramp of 1,500mm wide, 3.300mm length and 600mm height. This must be made
with masonry stone or masonry cement blocks basement laid and jointed with cement sand mortar of 1:6 mixing. After it
poured on top by 70mm thick plain cement concrete of 1:2:4 mixing ratio.</t>
  </si>
  <si>
    <t>REHABILITATION WASH FACILITIES OF 5 EXISTING TOILETS (1 staff toilet )</t>
  </si>
  <si>
    <t xml:space="preserve">Supply and install squating type WCs and improvement of soil water discharge pipes. </t>
  </si>
  <si>
    <t xml:space="preserve">Allow for plubming and drainage pipes improvement including adrresing water blockage and side water taps.   </t>
  </si>
  <si>
    <t>Supply and install 1 handwashing points for each set of toilets.</t>
  </si>
  <si>
    <t>Subtotal for 2 classrooms rehab</t>
  </si>
  <si>
    <t>Supply and install handwashing points for each set of toilets.</t>
  </si>
  <si>
    <t xml:space="preserve">Hack out damaged floor screed of classrooms and varendas and disposed off. Strip,raise the floor 15cm, backfill it by sectected filling material (carro-kawo jey ubadan)level and compact the ground to received RCC concrete. </t>
  </si>
  <si>
    <t>Rehab in Ahmed Gurey primary &amp; Secondary school</t>
  </si>
  <si>
    <t>Demolition of Non-fuctional Toilets</t>
  </si>
  <si>
    <t>Demolition of existing non-fuctional toilets structure and Site clearance by removal  and disposal of demolished material, all type of bushes from site prior to commencement of  construction.</t>
  </si>
  <si>
    <t>Subtotal for Demolition</t>
  </si>
  <si>
    <t>WASH FACILITIES (2 Girls  toilets)</t>
  </si>
  <si>
    <t xml:space="preserve">Carefully remove existing roofing sheets from 2 toilets. Repair any damage on timber structure by nailing and repairing. </t>
  </si>
  <si>
    <t xml:space="preserve">Scrap and repair any damages on external walls of 2 existing toilets for Girls and apply 3 coats of exterior paint of approved colour. </t>
  </si>
  <si>
    <t xml:space="preserve">Scrap and repair any damages on internal walls of 4 existing toilets for Girls and apply 2 coats of emulsion paint and 2 coats of glossy paint on internal walls.  </t>
  </si>
  <si>
    <t>Subtotal for 4 classrooms rehab</t>
  </si>
  <si>
    <t>Rehab in Horyaal primary &amp; Secondary school</t>
  </si>
  <si>
    <t>Classroom rehabilitations(6 in number) Block A as per attached view</t>
  </si>
  <si>
    <t xml:space="preserve">carefully scrap any damaged plaster on walls and, repair and apply 3 coats of emulsion paint on internal and external walls. Colour to be as approved by SCI/MoECHE engineers. </t>
  </si>
  <si>
    <t xml:space="preserve">Replace old steel windows and fixing to concrete Hollow block jambs &amp; concrete head and threshold. with new type made of 1.5mm MS plate on 25x25x3mm steel box frames and outer frame of 25x25x3mm steel angle lines fixed with 6 dove taled angle line walls bars of same size and heavy duty hinges. Including security grill made of 20x20x2mm steel boxes at 15cm spacing and heavy duty diamond mesh plate. Window overall size 1.5x1.5m all painted with anti-corrosion paint. </t>
  </si>
  <si>
    <t>Electrical installation works in classrooms including wiring, ducting, lights, sockets and ceiling fans in classrooms.B14</t>
  </si>
  <si>
    <t>Classroom rehabilitations(4 in number) Block B&amp;C as per attached view</t>
  </si>
  <si>
    <t>WASH FACILITIES (2 toilets and rehabilitation)</t>
  </si>
  <si>
    <t xml:space="preserve">Allow for plubming and drainage pipes improvement including side water taps, addressing and fixing blockage issues.   </t>
  </si>
  <si>
    <t>Supply and install a sturdy, anti-rust railing for the toilet stair, securely fixed for safety and support.</t>
  </si>
  <si>
    <t>Demolition of existing temporary classrooms(GI sheets) and non-fuctional twin latrine structure and Site clearance by removal  and disposal of demolished material, all type of bushes from site prior to commencement of  construction.</t>
  </si>
  <si>
    <t>Subtotal for  hall</t>
  </si>
  <si>
    <t>WASH FACILITIES (4 toilets both Boys and Girls )</t>
  </si>
  <si>
    <t xml:space="preserve">Allow for plubming and drainage pipes improvement including adrresing water blockage and side water taps.  Painting and wall repaires  </t>
  </si>
  <si>
    <t xml:space="preserve"> Make proper drianage school yard by proper channelling the drianage water and sockit pit fully cover and protected from children</t>
  </si>
  <si>
    <t>Subtotal for 26 classrooms rehab</t>
  </si>
  <si>
    <t>NEW CLASSROOMS (1)</t>
  </si>
  <si>
    <t>Madina pri. &amp; Secondary school</t>
  </si>
  <si>
    <t xml:space="preserve">Available budget </t>
  </si>
  <si>
    <t>Available budget</t>
  </si>
  <si>
    <t xml:space="preserve">Availbale budget </t>
  </si>
  <si>
    <t xml:space="preserve">Engineer's Estimate </t>
  </si>
  <si>
    <t>Engineer's Estimate</t>
  </si>
  <si>
    <t xml:space="preserve">Variance </t>
  </si>
  <si>
    <t>New classrooms</t>
  </si>
  <si>
    <t>Rehab of Classrooms</t>
  </si>
  <si>
    <t xml:space="preserve">New WASH facilities </t>
  </si>
  <si>
    <t xml:space="preserve">Rehab of WASH facilities </t>
  </si>
  <si>
    <t>New water tank</t>
  </si>
  <si>
    <t xml:space="preserve">New libraries </t>
  </si>
  <si>
    <t>$11,000 each</t>
  </si>
  <si>
    <t>$5000 each</t>
  </si>
  <si>
    <t>$3,500 each</t>
  </si>
  <si>
    <t>$4000 each</t>
  </si>
  <si>
    <t>$3500 each</t>
  </si>
  <si>
    <t>$34,000 each</t>
  </si>
  <si>
    <t>$1,920 each</t>
  </si>
  <si>
    <t>Cost Analaysis</t>
  </si>
  <si>
    <t>Rehabilitation of Classrooms</t>
  </si>
  <si>
    <t>Construction of WASH facilities</t>
  </si>
  <si>
    <t>Reahbilitation  of WASH facilities</t>
  </si>
  <si>
    <t>Construction of Water Tanks</t>
  </si>
  <si>
    <t>Rehab of Water Tanks</t>
  </si>
  <si>
    <t>Construction of library</t>
  </si>
  <si>
    <t>Rehab of a library</t>
  </si>
  <si>
    <t>Classroom furnitures</t>
  </si>
  <si>
    <t>BOQ BATCH/LOTS BREAKDOWN</t>
  </si>
  <si>
    <t xml:space="preserve">Unit cost </t>
  </si>
  <si>
    <t>Total</t>
  </si>
  <si>
    <t>Batch</t>
  </si>
  <si>
    <t>Lot</t>
  </si>
  <si>
    <t>15cm R.C (1:2:4 mix) in No.1. Ground beam with re-bars 4N0. Y12 &amp; R6 links @ 250 mm c/c. (0.40m x 0.15m). Concrete should be vibrated using by hand vibrated machine to remove air pockets/spaces. Curing should be 4 days ( twice each day).</t>
  </si>
  <si>
    <t>Subtotal for one 3 stand latrine</t>
  </si>
  <si>
    <t>Batch 1</t>
  </si>
  <si>
    <t>Lot1</t>
  </si>
  <si>
    <t>Lot2</t>
  </si>
  <si>
    <t>Lot3</t>
  </si>
  <si>
    <t>BOQ Submision date</t>
  </si>
  <si>
    <t xml:space="preserve">BOQ final review </t>
  </si>
  <si>
    <t>when PR Must be Raised</t>
  </si>
  <si>
    <t>When Construction must be started</t>
  </si>
  <si>
    <t>IMPLEMENTATION WORK PLAN</t>
  </si>
  <si>
    <t>December 1,2024</t>
  </si>
  <si>
    <t>December 3,2024</t>
  </si>
  <si>
    <t>December 10-2024</t>
  </si>
  <si>
    <t>January 20,2025</t>
  </si>
  <si>
    <t>The school front wall facing Main road was demolished due to newly constructed tramic road alignment, this has effected prayer room and three toilets</t>
  </si>
  <si>
    <t>This is newly proposed school, community ownen but ministry did not received land owned documentation this require to be confirmed before PR is raised</t>
  </si>
  <si>
    <t xml:space="preserve">This school is located Kismayo outskirts, Land documents to be confirmed. MoEJ only visited this schoole and suppervision Model to identified </t>
  </si>
  <si>
    <t xml:space="preserve">This school has GPE temporary classes and CFS which will be demolished-Child safeguarding to be consulted </t>
  </si>
  <si>
    <t xml:space="preserve">NEW TOILETS (1 blocks each of 3 units) </t>
  </si>
  <si>
    <t>This has 6 six temporary classed and requested the school to be transished to Permanent classes. The existed land is limitation  and required land expansion and Ministry promosed to work on land expansion and Documentation to be confirmed</t>
  </si>
  <si>
    <t>DISAGGREGATAED DATA COMPARISON</t>
  </si>
  <si>
    <t>TECHNICAL ASSESSMENT FINDINGS</t>
  </si>
  <si>
    <t>PROJECT TARGET/ALLOCATED CLASSROOMS</t>
  </si>
  <si>
    <t>Region</t>
  </si>
  <si>
    <t>District</t>
  </si>
  <si>
    <t>School Name</t>
  </si>
  <si>
    <t xml:space="preserve">New construction classrooms </t>
  </si>
  <si>
    <t>Rehab. Classrooms</t>
  </si>
  <si>
    <t>New Library</t>
  </si>
  <si>
    <t>Library rehab.</t>
  </si>
  <si>
    <t>ECE rehab.</t>
  </si>
  <si>
    <t># of classrooms require Deskss</t>
  </si>
  <si>
    <t xml:space="preserve">New Toilet </t>
  </si>
  <si>
    <t>Toilet rehab</t>
  </si>
  <si>
    <t>Water tank rehab.</t>
  </si>
  <si>
    <t>Compound improvemet</t>
  </si>
  <si>
    <t>Solar system</t>
  </si>
  <si>
    <t>New School desks</t>
  </si>
  <si>
    <t>New Toilets</t>
  </si>
  <si>
    <t>Remarks</t>
  </si>
  <si>
    <t>TOTAL</t>
  </si>
  <si>
    <t>`</t>
  </si>
  <si>
    <t xml:space="preserve">Comparison Summary </t>
  </si>
  <si>
    <t>Project target/Allocated Schools</t>
  </si>
  <si>
    <t>VS</t>
  </si>
  <si>
    <t xml:space="preserve">Technical assessment findings </t>
  </si>
  <si>
    <t>Classroom rehabs</t>
  </si>
  <si>
    <t>New WASH</t>
  </si>
  <si>
    <t>WASH rehab</t>
  </si>
  <si>
    <t>Library rehab</t>
  </si>
  <si>
    <t>Lower Jubba</t>
  </si>
  <si>
    <t>Kismayo</t>
  </si>
  <si>
    <t>L-Jubba-Kismayo District</t>
  </si>
  <si>
    <t>L-Jubba-Badhadhe, Dhobley and Hoosingow</t>
  </si>
  <si>
    <t>Gedo Region</t>
  </si>
  <si>
    <t>Subtotal for  2 classroom</t>
  </si>
  <si>
    <t>Summary</t>
  </si>
  <si>
    <t>Work:</t>
  </si>
  <si>
    <t>c</t>
  </si>
  <si>
    <t>GENERAL PRELIMINARIES</t>
  </si>
  <si>
    <t>Pre-construction Stage</t>
  </si>
  <si>
    <t>Possible environmental/Social Impact</t>
  </si>
  <si>
    <t>Mitigation Measures</t>
  </si>
  <si>
    <t>Loss of vegetation and associate loss of biodiversity</t>
  </si>
  <si>
    <t>1. Siting of the sub projects in areas of minimal disturbance by ensuring proper demarcation of the project site and the vegetation clearance is limited to the demarcation areas only to prevent unnecessary clearing vegetation.</t>
  </si>
  <si>
    <t>2. Avoiding areas with a lot of vegetation and existing trees. Avoid cutting down trees as much as possible by realigning the structure around mature treesas much as possible. If cutting of trees is unavoidable, offset by replanting new trees of the same species.</t>
  </si>
  <si>
    <t>Air pollution through dust generartion</t>
  </si>
  <si>
    <t>1. Dampening of the ground by sprinkling of water regularly to keep the site dust free.</t>
  </si>
  <si>
    <t>2. Workers should adhere to putting on protective clothing and equipment such as dust mask and reflective vests.</t>
  </si>
  <si>
    <t>Soils/wind erosion</t>
  </si>
  <si>
    <t>1. Compacting of loose soil in excavation areas.</t>
  </si>
  <si>
    <t xml:space="preserve">2.Re-use the dug up soil in backfilling and landscaping.                                                      </t>
  </si>
  <si>
    <t xml:space="preserve">3. Enclose the construction site and protect the spoil to prevent these waste soils and other debris from being washed away by surface runoff, wind and naturally by spilling over to the rest of the of the school compound </t>
  </si>
  <si>
    <t>4. All dug up soil that is not needed on-site to be removed promply and disposed of to appropiriate areas as designated by the Engineeer</t>
  </si>
  <si>
    <t>Labor influx and related impacts</t>
  </si>
  <si>
    <t xml:space="preserve">1. The contractor should develop an internal labor management plan before hiring of workers. </t>
  </si>
  <si>
    <t>2. The contractor should hire mainly local labour if their skill is to the level required for such works. Contributor shall avoid bringing labour from outside except where such is necessary. This can be done in constitution with the school board management.</t>
  </si>
  <si>
    <t xml:space="preserve">3. The contractor should ensure the hiring process is done with fairness and gender sensitive. </t>
  </si>
  <si>
    <t xml:space="preserve">4. Contractor shall develop a grievance redress mechanism for both local community and workers </t>
  </si>
  <si>
    <t>Solid waste generation</t>
  </si>
  <si>
    <t>1. Regularly remove and transport excavated soil and other wastes to the designated dumpsite.</t>
  </si>
  <si>
    <t>2. Provide waste bins for solid waste disposal at strategic points for ease of disposing waste as the work progresses.</t>
  </si>
  <si>
    <t>3. construction workers should be senitized on the importance of disposing waste to the designated points.</t>
  </si>
  <si>
    <t>Noise Pollution</t>
  </si>
  <si>
    <t xml:space="preserve">1. If generator is to be installed in the site for construction purpose it shall have canopy - sound insulation to minimise disturbances, </t>
  </si>
  <si>
    <t>2. Ensure construction machineries .eg concrete mixers and vibrators and others are well maintained in a way that reduces excessive noise</t>
  </si>
  <si>
    <t>3. Undertaking loud noise activities during off-pick hours (break time, luch break, games time)</t>
  </si>
  <si>
    <t>4. Ensuring that workers wear ear muffs and other personal protective equipments (PPEs) if working in noisy section</t>
  </si>
  <si>
    <t>Increased strain on available resources</t>
  </si>
  <si>
    <t>1. The contractor should source their own water to be use during construction. By no means should the schools' resources used during construction unless prior arragemnets are made  with necessary compensations accorded</t>
  </si>
  <si>
    <t xml:space="preserve">2. Locally available materials such as soil and stones shall be sourced from approved quary sites and shall always be done in a way that it doesn’t create enviromental problems. </t>
  </si>
  <si>
    <t xml:space="preserve">3. Contractor shall in now way cut local trees to use as construction materials. This shall only be done with approval from relevant authorities. </t>
  </si>
  <si>
    <t xml:space="preserve">Child safeguarding </t>
  </si>
  <si>
    <t>1. The contractor should ensure children are protetcted from any negative impact from the construction works.</t>
  </si>
  <si>
    <t>2. The contractor should strictly hire people who are above 18 years and shall ensure to verify the age of site workers such as use of identity cards.</t>
  </si>
  <si>
    <t>3. The contractor  should prevent children from coming to the site by use of fencing. Contractor shall also ensure protection and covering of pits and deep excavations to avoid school children falling</t>
  </si>
  <si>
    <t xml:space="preserve">4. The contracor shall ensure their workers are sensitized and are fully aware of their child safeguarding obligations. </t>
  </si>
  <si>
    <t>5. The contractor should organize with the school management to ensure they alert the children not to play or go near the construction site or any machinery - vehicle transporting construction materials.</t>
  </si>
  <si>
    <t>6. Provide safety warning signs informing the children and staff of ongoing construction works.</t>
  </si>
  <si>
    <t>Increase transmission of communicable diseases - waterborne and airborne illnesses</t>
  </si>
  <si>
    <t xml:space="preserve">1. Contractor shall ensure their workers are fully sensitized about communicable diseases and ways to prevent. </t>
  </si>
  <si>
    <t xml:space="preserve">2. The contractor should ensure there is provision of safe drinking water and appropriate sanitation facilities to workers. </t>
  </si>
  <si>
    <t>Sexual exploitation and absue</t>
  </si>
  <si>
    <t>1. The contractor should develop a code of conduct which should encompass clear warning to workers on any kind of sexual exploitation and absue</t>
  </si>
  <si>
    <t>2. The contractor should provide a mechanism where workers are free to report any sexual or related harrassment to the senior management without fear of intimidation</t>
  </si>
  <si>
    <t>3. The contractor should communicate to the workers and there should be no or minimal interction with the school children.</t>
  </si>
  <si>
    <t>Occupational Saftey and Health</t>
  </si>
  <si>
    <t>1. The contractor shall hire a competent occupational health and safety officer for the construction site</t>
  </si>
  <si>
    <t>2. The contractor should provide all the construction workers with personal protective equipment.</t>
  </si>
  <si>
    <t>3. The site supervisor should ensure all the the construction workers wear the provided PPEs duringworking hours</t>
  </si>
  <si>
    <t>4. The contractor shall erect rules requiring all workers and visitors have the appropriate PPEs to prevent any injuries</t>
  </si>
  <si>
    <t>5. The contractor should purchase and provide a first aid kit at every construction site. Establish a first aid unit.</t>
  </si>
  <si>
    <t xml:space="preserve">6. The contractor should ensure any injuries, incidents or accidents are recorded and record kept for monitoring health and safety. </t>
  </si>
  <si>
    <t>Drug and substance abuse</t>
  </si>
  <si>
    <t>1. During worker's orientation, they should be clearl informed of no drug or substance abuse within the construction site and during working hours</t>
  </si>
  <si>
    <t>2. The contractor shall communicate its 'No Smoking' plicy through large visible posters to the workers.</t>
  </si>
  <si>
    <t>3. The site supervisor should not allow any worker entry to the construction site who is under the influence of drug or substance.</t>
  </si>
  <si>
    <t>4. Provide posters prohibiting workers from smoking or engaing in drug use within the school</t>
  </si>
  <si>
    <t>Social Evils/Crimes</t>
  </si>
  <si>
    <t>1. The contrator has a responsibility to provide security at the construction site and not rely on the school;s security.</t>
  </si>
  <si>
    <t>2. The contractor should consider hiring workers in collaboration with the school management who may have more knowledge on the local people, and that will minimize bad characters in its workforce.</t>
  </si>
  <si>
    <t>Date:</t>
  </si>
  <si>
    <t>Renovate minor garden in front of rehablitated classes</t>
  </si>
  <si>
    <t>Supply and installation of 0.9x2.1m alluminium(base 10cm frame) doors of approved quality by SCI engineers</t>
  </si>
  <si>
    <t>Install electeritiy and lamps</t>
  </si>
  <si>
    <t>Supply and Install  blockboards size (4*1.4m) as per instructions engineer.</t>
  </si>
  <si>
    <t>Subtotal for 5 toilets rehab</t>
  </si>
  <si>
    <t>REHABILITATION WASH FACILITIES OF 4 EXISTING TOILETS (2 Girls, and 2 Boys )</t>
  </si>
  <si>
    <t xml:space="preserve">apply visiblity of the projects with sc engineer guidance </t>
  </si>
  <si>
    <t>Subtotal for 4 toilets rehab</t>
  </si>
  <si>
    <t>Remove and install  toilet roof new aluminium iron sheet. Wooden 75x50 and 50x50cmm and 15x3cm facia board</t>
  </si>
  <si>
    <t>Subtotal for 2 toilets rehab</t>
  </si>
  <si>
    <t>REHABILITATION WASH FACILITIES OF 2 EXISTING TOILETS (2 Girls, )</t>
  </si>
  <si>
    <t>Toilets rehabilitation(2)</t>
  </si>
  <si>
    <t xml:space="preserve">LOT 6: Grand Summary </t>
  </si>
  <si>
    <t>Total cost of Lot 6</t>
  </si>
  <si>
    <t>Rehabilitation/New classroom construction works in selected schools in Kismayo (listed below table)</t>
  </si>
  <si>
    <t xml:space="preserve">Carefully remove existing roofing sheets from 5 class rooms. Repair any damage on timber structure by nailing and repairing.replace the weak pcs with new once   with SC Engineer's Guidance </t>
  </si>
  <si>
    <t>Supply and install Black of the Class room</t>
  </si>
  <si>
    <t>Rehabilitation 10 class rooms and 3 Toilets in Farjano primary school</t>
  </si>
  <si>
    <t>Rehabilitation of 8 classes and 5 Toilets in Ganane primary school</t>
  </si>
  <si>
    <t>Construction of one new class room in EX-Marine primary school</t>
  </si>
  <si>
    <t>Construction of two new class rooms in New wamo primary school</t>
  </si>
  <si>
    <t>Construction of two new class rooms in Wamo stadium primary school</t>
  </si>
  <si>
    <t>Lon:-0.364066, Lat:42.553635</t>
  </si>
  <si>
    <t>Lon:-0.350908, Lat:42.548387</t>
  </si>
  <si>
    <t>Lon:-0.354096, Lat:42.551674</t>
  </si>
  <si>
    <t>Lon:-0.3610574, Lat:42.5323284</t>
  </si>
  <si>
    <t>Lon:-0.3437115, Lat:42.5577942</t>
  </si>
  <si>
    <t>Lon:-0.3521318, Lat:42.5557084</t>
  </si>
  <si>
    <t>General Instructions to Bidders:</t>
  </si>
  <si>
    <t>Bidders shall submit their offers based strictly on the provided BOQ without any modifications to item descriptions, quantities, or units of measurement. Any deviations, omissions, or unauthorized changes may result in disqualification.</t>
  </si>
  <si>
    <t>Bidders are required to fill in unit rates and amounts only in the designated pricing columns. No changes to pre-defined BOQ items are allowed.</t>
  </si>
  <si>
    <t>Should there be any discrepancies or need for clarification, bidders must submit written requests for official guidance prior to bid submission.</t>
  </si>
  <si>
    <t>If no price has been stated against any item  hereunder, the Contractor shall not be entitled to claim any money for such items even though he is obliged to execute the work or provide services described therein. Preliminary items priced by the Tenderer are deemed to include the cost of unpriced items.</t>
  </si>
  <si>
    <t>The Tenderer shall read, understand  and acquaint himself with the requirements in the Conditions of Contract, Instructions to Tenderers, Bidding Data, Bid Form, Appendix to Tender and Preamble notes. It is the Tenderer's responsibility to see that his price includes for complying with all the above requirements whether specifically referred to in this bills of quantities or otherwise.</t>
  </si>
  <si>
    <t>The Tenderer is required to visit the site of the proposed work, as it is his responsibility to ascertain the conditions governing access to the site, the existing conditionas of the facility and any other information he may find necessary before he can tender for the work.</t>
  </si>
  <si>
    <t>Cost and expenses in connection with any other preliminary item which is not listed below, but is necessary for the due completion of works, is deemed to be included in the tender rates.</t>
  </si>
  <si>
    <t>The contractor is accountable for safeguarding against any loss or damage to the works, existing structures, adjoining structures, and unfixed materials. They must also protect facility belongings, maintain the proper functioning of systems, and ensure the safety of facility users throughout the construction phase.</t>
  </si>
  <si>
    <t>Multi-Purpose Classroom rehabilitations  as per attached view</t>
  </si>
  <si>
    <t>Mult-Purpose Classroom rehabilitations as per attached 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</si>
</sst>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_-* #,##0.00_-;\-* #,##0.00_-;_-* &quot;-&quot;??_-;_-@_-"/>
    <numFmt numFmtId="165" formatCode="#,##0.000"/>
    <numFmt numFmtId="166" formatCode="_(* #,##0_);_(* \(#,##0\);_(* &quot;-&quot;??_);_(@_)"/>
    <numFmt numFmtId="167" formatCode="&quot;$&quot;#,##0.00"/>
  </numFmts>
  <fonts count="48" x14ac:knownFonts="1">
    <font>
      <sz val="11"/>
      <color theme="1"/>
      <name val="Calibri"/>
      <family val="2"/>
      <scheme val="minor"/>
    </font>
    <font>
      <sz val="11"/>
      <color theme="1"/>
      <name val="Calibri"/>
      <family val="2"/>
      <scheme val="minor"/>
    </font>
    <font>
      <sz val="11"/>
      <name val="Calibri"/>
      <family val="2"/>
      <scheme val="minor"/>
    </font>
    <font>
      <sz val="11"/>
      <color indexed="8"/>
      <name val="Calibri"/>
      <family val="2"/>
    </font>
    <font>
      <sz val="10"/>
      <name val="Arial"/>
      <family val="2"/>
    </font>
    <font>
      <b/>
      <sz val="11"/>
      <color theme="1"/>
      <name val="Calibri"/>
      <family val="2"/>
      <scheme val="minor"/>
    </font>
    <font>
      <sz val="8"/>
      <name val="Calibri"/>
      <family val="2"/>
      <scheme val="minor"/>
    </font>
    <font>
      <sz val="11"/>
      <color theme="1"/>
      <name val="Times New Roman"/>
      <family val="1"/>
    </font>
    <font>
      <b/>
      <u/>
      <sz val="11"/>
      <name val="Times New Roman"/>
      <family val="1"/>
    </font>
    <font>
      <sz val="11"/>
      <name val="Times New Roman"/>
      <family val="1"/>
    </font>
    <font>
      <sz val="10"/>
      <color rgb="FF000000"/>
      <name val="Arial"/>
      <family val="2"/>
    </font>
    <font>
      <sz val="10"/>
      <color rgb="FF000000"/>
      <name val="Arial"/>
      <family val="2"/>
    </font>
    <font>
      <b/>
      <sz val="11"/>
      <name val="Times New Roman"/>
      <family val="1"/>
    </font>
    <font>
      <sz val="9"/>
      <name val="Times New Roman"/>
      <family val="1"/>
    </font>
    <font>
      <u/>
      <sz val="11"/>
      <color rgb="FFFF0000"/>
      <name val="Times New Roman"/>
      <family val="1"/>
    </font>
    <font>
      <sz val="10"/>
      <name val="Times New Roman"/>
      <family val="1"/>
    </font>
    <font>
      <b/>
      <sz val="11"/>
      <color theme="1"/>
      <name val="Times New Roman"/>
      <family val="1"/>
    </font>
    <font>
      <b/>
      <sz val="12"/>
      <color theme="1"/>
      <name val="Times New Roman"/>
      <family val="1"/>
    </font>
    <font>
      <b/>
      <sz val="14"/>
      <color theme="1"/>
      <name val="Times New Roman"/>
      <family val="1"/>
    </font>
    <font>
      <b/>
      <sz val="8"/>
      <name val="Times New Roman"/>
      <family val="1"/>
    </font>
    <font>
      <b/>
      <sz val="9"/>
      <name val="Times New Roman"/>
      <family val="1"/>
    </font>
    <font>
      <b/>
      <sz val="12"/>
      <name val="Times New Roman"/>
      <family val="1"/>
    </font>
    <font>
      <sz val="12"/>
      <name val="Times New Roman"/>
      <family val="1"/>
    </font>
    <font>
      <b/>
      <sz val="14"/>
      <name val="Times New Roman"/>
      <family val="1"/>
    </font>
    <font>
      <b/>
      <u/>
      <sz val="10"/>
      <name val="Times New Roman"/>
      <family val="1"/>
    </font>
    <font>
      <u/>
      <sz val="10"/>
      <color rgb="FFFF0000"/>
      <name val="Times New Roman"/>
      <family val="1"/>
    </font>
    <font>
      <sz val="10"/>
      <color rgb="FF000000"/>
      <name val="Times New Roman"/>
      <family val="1"/>
    </font>
    <font>
      <sz val="8"/>
      <color theme="1"/>
      <name val="Times New Roman"/>
      <family val="1"/>
    </font>
    <font>
      <sz val="9"/>
      <color theme="1"/>
      <name val="Times New Roman"/>
      <family val="1"/>
    </font>
    <font>
      <b/>
      <sz val="8"/>
      <color theme="1"/>
      <name val="Calibri"/>
      <family val="2"/>
      <scheme val="minor"/>
    </font>
    <font>
      <sz val="11"/>
      <color rgb="FFFF0000"/>
      <name val="Calibri"/>
      <family val="2"/>
      <scheme val="minor"/>
    </font>
    <font>
      <sz val="11"/>
      <color theme="0"/>
      <name val="Calibri"/>
      <family val="2"/>
      <scheme val="minor"/>
    </font>
    <font>
      <b/>
      <sz val="20"/>
      <color theme="1"/>
      <name val="Calibri"/>
      <family val="2"/>
      <scheme val="minor"/>
    </font>
    <font>
      <b/>
      <sz val="12"/>
      <color theme="1"/>
      <name val="Calibri"/>
      <family val="2"/>
      <scheme val="minor"/>
    </font>
    <font>
      <b/>
      <sz val="16"/>
      <color theme="1"/>
      <name val="Calibri"/>
      <family val="2"/>
      <scheme val="minor"/>
    </font>
    <font>
      <b/>
      <sz val="11"/>
      <color rgb="FF000000"/>
      <name val="Calibri"/>
      <family val="2"/>
      <scheme val="minor"/>
    </font>
    <font>
      <b/>
      <sz val="14"/>
      <color rgb="FF000000"/>
      <name val="Calibri"/>
      <family val="2"/>
      <scheme val="minor"/>
    </font>
    <font>
      <sz val="11"/>
      <color rgb="FF000000"/>
      <name val="Calibri"/>
      <family val="2"/>
      <scheme val="minor"/>
    </font>
    <font>
      <sz val="12"/>
      <color theme="1"/>
      <name val="Calibri"/>
      <family val="2"/>
      <scheme val="minor"/>
    </font>
    <font>
      <b/>
      <sz val="10"/>
      <color rgb="FF000000"/>
      <name val="Arial"/>
      <family val="2"/>
    </font>
    <font>
      <b/>
      <sz val="10"/>
      <name val="Arial"/>
      <family val="2"/>
    </font>
    <font>
      <b/>
      <sz val="16"/>
      <color rgb="FF000000"/>
      <name val="Gill Sans MT"/>
      <family val="2"/>
    </font>
    <font>
      <b/>
      <sz val="12"/>
      <color rgb="FF000000"/>
      <name val="Gill Sans MT"/>
      <family val="2"/>
    </font>
    <font>
      <b/>
      <sz val="14"/>
      <color rgb="FF000000"/>
      <name val="Gill Sans MT"/>
      <family val="2"/>
    </font>
    <font>
      <sz val="12"/>
      <color rgb="FF000000"/>
      <name val="Gill Sans MT"/>
      <family val="2"/>
    </font>
    <font>
      <sz val="11"/>
      <color rgb="FFFF0000"/>
      <name val="Times New Roman"/>
      <family val="1"/>
    </font>
    <font>
      <sz val="11"/>
      <color rgb="FF000000"/>
      <name val="Calibri"/>
      <family val="2"/>
    </font>
    <font>
      <sz val="11"/>
      <color rgb="FF000000"/>
      <name val="Times New Roman"/>
      <family val="1"/>
    </font>
  </fonts>
  <fills count="32">
    <fill>
      <patternFill patternType="none"/>
    </fill>
    <fill>
      <patternFill patternType="gray125"/>
    </fill>
    <fill>
      <patternFill patternType="solid">
        <fgColor theme="9"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rgb="FFFFFF00"/>
        <bgColor indexed="64"/>
      </patternFill>
    </fill>
    <fill>
      <patternFill patternType="solid">
        <fgColor rgb="FFFFC000"/>
        <bgColor indexed="64"/>
      </patternFill>
    </fill>
    <fill>
      <patternFill patternType="solid">
        <fgColor theme="5" tint="0.79998168889431442"/>
        <bgColor indexed="64"/>
      </patternFill>
    </fill>
    <fill>
      <patternFill patternType="solid">
        <fgColor rgb="FFC00000"/>
        <bgColor indexed="64"/>
      </patternFill>
    </fill>
    <fill>
      <patternFill patternType="solid">
        <fgColor theme="7" tint="-0.249977111117893"/>
        <bgColor indexed="64"/>
      </patternFill>
    </fill>
    <fill>
      <patternFill patternType="solid">
        <fgColor theme="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5"/>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249977111117893"/>
        <bgColor indexed="64"/>
      </patternFill>
    </fill>
    <fill>
      <patternFill patternType="solid">
        <fgColor theme="9" tint="0.59999389629810485"/>
        <bgColor indexed="64"/>
      </patternFill>
    </fill>
    <fill>
      <patternFill patternType="solid">
        <fgColor rgb="FFFFD966"/>
        <bgColor rgb="FF000000"/>
      </patternFill>
    </fill>
    <fill>
      <patternFill patternType="solid">
        <fgColor theme="0"/>
        <bgColor rgb="FF000000"/>
      </patternFill>
    </fill>
    <fill>
      <patternFill patternType="solid">
        <fgColor rgb="FFF8CBAD"/>
        <bgColor rgb="FF000000"/>
      </patternFill>
    </fill>
    <fill>
      <patternFill patternType="solid">
        <fgColor theme="4" tint="0.79998168889431442"/>
        <bgColor indexed="64"/>
      </patternFill>
    </fill>
    <fill>
      <patternFill patternType="solid">
        <fgColor theme="4" tint="0.79998168889431442"/>
        <bgColor rgb="FF000000"/>
      </patternFill>
    </fill>
    <fill>
      <patternFill patternType="solid">
        <fgColor theme="3" tint="0.79998168889431442"/>
        <bgColor indexed="64"/>
      </patternFill>
    </fill>
  </fills>
  <borders count="71">
    <border>
      <left/>
      <right/>
      <top/>
      <bottom/>
      <diagonal/>
    </border>
    <border>
      <left style="thin">
        <color auto="1"/>
      </left>
      <right style="thin">
        <color auto="1"/>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auto="1"/>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right style="thin">
        <color auto="1"/>
      </right>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auto="1"/>
      </right>
      <top style="thin">
        <color auto="1"/>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style="thin">
        <color indexed="64"/>
      </right>
      <top/>
      <bottom/>
      <diagonal/>
    </border>
    <border>
      <left style="thin">
        <color indexed="64"/>
      </left>
      <right style="medium">
        <color indexed="64"/>
      </right>
      <top/>
      <bottom/>
      <diagonal/>
    </border>
    <border>
      <left style="thin">
        <color auto="1"/>
      </left>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diagonal/>
    </border>
    <border>
      <left style="medium">
        <color auto="1"/>
      </left>
      <right style="medium">
        <color auto="1"/>
      </right>
      <top style="medium">
        <color auto="1"/>
      </top>
      <bottom style="medium">
        <color auto="1"/>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auto="1"/>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7">
    <xf numFmtId="0" fontId="0" fillId="0" borderId="0"/>
    <xf numFmtId="43"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0" fontId="4" fillId="0" borderId="0"/>
    <xf numFmtId="43" fontId="3" fillId="0" borderId="0" applyFont="0" applyFill="0" applyBorder="0" applyAlignment="0" applyProtection="0"/>
    <xf numFmtId="44" fontId="1" fillId="0" borderId="0" applyFont="0" applyFill="0" applyBorder="0" applyAlignment="0" applyProtection="0"/>
  </cellStyleXfs>
  <cellXfs count="568">
    <xf numFmtId="0" fontId="0" fillId="0" borderId="0" xfId="0"/>
    <xf numFmtId="0" fontId="2" fillId="0" borderId="1" xfId="0" applyFont="1" applyBorder="1" applyAlignment="1">
      <alignment horizontal="center" vertical="center"/>
    </xf>
    <xf numFmtId="0" fontId="4" fillId="0" borderId="1" xfId="0" applyFont="1" applyBorder="1" applyAlignment="1">
      <alignment horizontal="center" vertical="center"/>
    </xf>
    <xf numFmtId="0" fontId="0" fillId="4" borderId="1" xfId="0" applyFill="1" applyBorder="1" applyAlignment="1">
      <alignment vertical="center" wrapText="1"/>
    </xf>
    <xf numFmtId="0" fontId="0" fillId="0" borderId="0" xfId="0" applyAlignment="1">
      <alignment horizontal="left"/>
    </xf>
    <xf numFmtId="43" fontId="2" fillId="0" borderId="1" xfId="1" applyFont="1" applyBorder="1" applyAlignment="1">
      <alignment horizontal="center" vertical="center"/>
    </xf>
    <xf numFmtId="0" fontId="0" fillId="5" borderId="0" xfId="0" applyFill="1" applyAlignment="1">
      <alignment wrapText="1"/>
    </xf>
    <xf numFmtId="0" fontId="0" fillId="0" borderId="0" xfId="0" applyAlignment="1">
      <alignment wrapText="1"/>
    </xf>
    <xf numFmtId="0" fontId="0" fillId="5" borderId="0" xfId="0" applyFill="1" applyAlignment="1">
      <alignment horizontal="center" vertical="center"/>
    </xf>
    <xf numFmtId="0" fontId="0" fillId="0" borderId="0" xfId="0" applyAlignment="1">
      <alignment horizontal="center" vertical="center"/>
    </xf>
    <xf numFmtId="0" fontId="5" fillId="0" borderId="0" xfId="0" applyFont="1"/>
    <xf numFmtId="0" fontId="0" fillId="5" borderId="0" xfId="0" applyFill="1" applyAlignment="1">
      <alignment horizontal="center"/>
    </xf>
    <xf numFmtId="0" fontId="0" fillId="0" borderId="0" xfId="0" applyAlignment="1">
      <alignment horizontal="center"/>
    </xf>
    <xf numFmtId="0" fontId="7" fillId="0" borderId="1" xfId="0" applyFont="1" applyBorder="1" applyAlignment="1">
      <alignment horizontal="center" vertical="center"/>
    </xf>
    <xf numFmtId="2" fontId="7" fillId="0" borderId="1" xfId="0" applyNumberFormat="1" applyFont="1" applyBorder="1" applyAlignment="1">
      <alignment horizontal="center" vertical="center"/>
    </xf>
    <xf numFmtId="2" fontId="0" fillId="5" borderId="0" xfId="0" applyNumberFormat="1" applyFill="1" applyAlignment="1">
      <alignment horizontal="center" vertical="center"/>
    </xf>
    <xf numFmtId="2" fontId="0" fillId="0" borderId="0" xfId="0" applyNumberFormat="1" applyAlignment="1">
      <alignment horizontal="center" vertical="center"/>
    </xf>
    <xf numFmtId="2" fontId="0" fillId="5" borderId="0" xfId="0" applyNumberFormat="1" applyFill="1"/>
    <xf numFmtId="2" fontId="0" fillId="0" borderId="0" xfId="0" applyNumberFormat="1"/>
    <xf numFmtId="0" fontId="7" fillId="0" borderId="0" xfId="0" applyFont="1"/>
    <xf numFmtId="0" fontId="0" fillId="8" borderId="0" xfId="0" applyFill="1"/>
    <xf numFmtId="0" fontId="9" fillId="0" borderId="1" xfId="0" applyFont="1" applyBorder="1" applyAlignment="1">
      <alignment horizontal="center" vertical="center"/>
    </xf>
    <xf numFmtId="0" fontId="5" fillId="8" borderId="0" xfId="0" applyFont="1" applyFill="1"/>
    <xf numFmtId="0" fontId="10" fillId="3" borderId="33" xfId="0" applyFont="1" applyFill="1" applyBorder="1"/>
    <xf numFmtId="0" fontId="10" fillId="9" borderId="33" xfId="0" applyFont="1" applyFill="1" applyBorder="1"/>
    <xf numFmtId="0" fontId="10" fillId="10" borderId="33" xfId="0" applyFont="1" applyFill="1" applyBorder="1"/>
    <xf numFmtId="0" fontId="10" fillId="11" borderId="33" xfId="0" applyFont="1" applyFill="1" applyBorder="1"/>
    <xf numFmtId="0" fontId="0" fillId="12" borderId="0" xfId="0" applyFill="1"/>
    <xf numFmtId="0" fontId="10" fillId="4" borderId="33" xfId="0" applyFont="1" applyFill="1" applyBorder="1"/>
    <xf numFmtId="0" fontId="10" fillId="13" borderId="33" xfId="0" applyFont="1" applyFill="1" applyBorder="1"/>
    <xf numFmtId="43" fontId="0" fillId="0" borderId="0" xfId="0" applyNumberFormat="1"/>
    <xf numFmtId="0" fontId="10" fillId="14" borderId="33" xfId="0" applyFont="1" applyFill="1" applyBorder="1"/>
    <xf numFmtId="0" fontId="9"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12" fillId="0" borderId="1" xfId="0" applyFont="1" applyBorder="1" applyAlignment="1">
      <alignment horizontal="center" vertical="center"/>
    </xf>
    <xf numFmtId="2" fontId="9" fillId="0" borderId="1" xfId="0" applyNumberFormat="1" applyFont="1" applyBorder="1" applyAlignment="1">
      <alignment horizontal="center" vertical="center"/>
    </xf>
    <xf numFmtId="2" fontId="9" fillId="0" borderId="1" xfId="1" applyNumberFormat="1" applyFont="1" applyBorder="1" applyAlignment="1">
      <alignment horizontal="center" vertical="center"/>
    </xf>
    <xf numFmtId="0" fontId="9" fillId="0" borderId="1" xfId="0" applyFont="1" applyBorder="1" applyAlignment="1">
      <alignment horizontal="left" vertical="center" wrapText="1"/>
    </xf>
    <xf numFmtId="0" fontId="7" fillId="0" borderId="1" xfId="0" applyFont="1" applyBorder="1" applyAlignment="1">
      <alignment horizontal="center" vertical="center" wrapText="1"/>
    </xf>
    <xf numFmtId="0" fontId="9" fillId="0" borderId="1" xfId="0" applyFont="1" applyBorder="1" applyAlignment="1">
      <alignment vertical="center" wrapText="1"/>
    </xf>
    <xf numFmtId="2" fontId="9" fillId="0" borderId="1" xfId="0" applyNumberFormat="1" applyFont="1" applyBorder="1" applyAlignment="1">
      <alignment horizontal="center" vertical="center" wrapText="1"/>
    </xf>
    <xf numFmtId="0" fontId="12" fillId="0" borderId="1" xfId="0" applyFont="1" applyBorder="1" applyAlignment="1">
      <alignment vertical="center" wrapText="1"/>
    </xf>
    <xf numFmtId="165" fontId="7" fillId="0" borderId="1" xfId="0" applyNumberFormat="1" applyFont="1" applyBorder="1" applyAlignment="1">
      <alignment horizontal="center" vertical="center"/>
    </xf>
    <xf numFmtId="0" fontId="14" fillId="0" borderId="1" xfId="0" applyFont="1" applyBorder="1" applyAlignment="1">
      <alignment vertical="center" wrapText="1"/>
    </xf>
    <xf numFmtId="4" fontId="7" fillId="0" borderId="1" xfId="0" applyNumberFormat="1" applyFont="1" applyBorder="1" applyAlignment="1">
      <alignment horizontal="center" vertical="center"/>
    </xf>
    <xf numFmtId="0" fontId="7" fillId="0" borderId="1" xfId="0" applyFont="1" applyBorder="1" applyAlignment="1">
      <alignment vertical="center" wrapText="1"/>
    </xf>
    <xf numFmtId="0" fontId="12" fillId="0" borderId="1" xfId="0" applyFont="1" applyBorder="1" applyAlignment="1">
      <alignment vertical="center"/>
    </xf>
    <xf numFmtId="0" fontId="14" fillId="0" borderId="1" xfId="0" applyFont="1" applyBorder="1"/>
    <xf numFmtId="0" fontId="7" fillId="0" borderId="1" xfId="0" applyFont="1" applyBorder="1"/>
    <xf numFmtId="0" fontId="15" fillId="0" borderId="1" xfId="0" applyFont="1" applyBorder="1" applyAlignment="1">
      <alignment horizontal="center" vertical="center"/>
    </xf>
    <xf numFmtId="0" fontId="7" fillId="0" borderId="1" xfId="0" applyFont="1" applyBorder="1" applyAlignment="1">
      <alignment wrapText="1"/>
    </xf>
    <xf numFmtId="49" fontId="9" fillId="0" borderId="1" xfId="0" applyNumberFormat="1" applyFont="1" applyBorder="1" applyAlignment="1">
      <alignment horizontal="justify" vertical="top" wrapText="1"/>
    </xf>
    <xf numFmtId="2" fontId="7" fillId="0" borderId="1" xfId="0" applyNumberFormat="1" applyFont="1" applyBorder="1"/>
    <xf numFmtId="0" fontId="12" fillId="15" borderId="1" xfId="0" applyFont="1" applyFill="1" applyBorder="1" applyAlignment="1">
      <alignment vertical="center"/>
    </xf>
    <xf numFmtId="2" fontId="16" fillId="15" borderId="1" xfId="1" applyNumberFormat="1" applyFont="1" applyFill="1" applyBorder="1" applyAlignment="1">
      <alignment horizontal="center" vertical="center"/>
    </xf>
    <xf numFmtId="0" fontId="11" fillId="13" borderId="1" xfId="0" applyFont="1" applyFill="1" applyBorder="1"/>
    <xf numFmtId="0" fontId="8" fillId="0" borderId="1" xfId="0" applyFont="1" applyBorder="1" applyAlignment="1">
      <alignment horizontal="left" vertical="center"/>
    </xf>
    <xf numFmtId="0" fontId="11" fillId="13" borderId="34" xfId="0" applyFont="1" applyFill="1" applyBorder="1"/>
    <xf numFmtId="0" fontId="17" fillId="2" borderId="15" xfId="0" applyFont="1" applyFill="1" applyBorder="1" applyAlignment="1">
      <alignment horizontal="center" vertical="center" wrapText="1"/>
    </xf>
    <xf numFmtId="0" fontId="17" fillId="2" borderId="16" xfId="0" applyFont="1" applyFill="1" applyBorder="1" applyAlignment="1">
      <alignment vertical="center" wrapText="1"/>
    </xf>
    <xf numFmtId="0" fontId="17" fillId="2" borderId="16" xfId="0" applyFont="1" applyFill="1" applyBorder="1" applyAlignment="1">
      <alignment horizontal="center" vertical="center" wrapText="1"/>
    </xf>
    <xf numFmtId="0" fontId="17" fillId="0" borderId="23" xfId="0" applyFont="1" applyBorder="1" applyAlignment="1">
      <alignment horizontal="center" vertical="center" wrapText="1"/>
    </xf>
    <xf numFmtId="0" fontId="16" fillId="4" borderId="1" xfId="0" applyFont="1" applyFill="1" applyBorder="1" applyAlignment="1">
      <alignment vertical="center" wrapText="1"/>
    </xf>
    <xf numFmtId="0" fontId="17" fillId="0" borderId="24" xfId="0" applyFont="1" applyBorder="1" applyAlignment="1">
      <alignment horizontal="center" vertical="center" wrapText="1"/>
    </xf>
    <xf numFmtId="43" fontId="9" fillId="0" borderId="1" xfId="1" applyFont="1" applyBorder="1" applyAlignment="1">
      <alignment horizontal="center" vertical="center"/>
    </xf>
    <xf numFmtId="0" fontId="7" fillId="4" borderId="1" xfId="0" applyFont="1" applyFill="1" applyBorder="1" applyAlignment="1">
      <alignment vertical="center" wrapText="1"/>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2" fontId="9" fillId="4" borderId="1" xfId="0" applyNumberFormat="1" applyFont="1" applyFill="1" applyBorder="1" applyAlignment="1">
      <alignment horizontal="center" vertical="center" wrapText="1"/>
    </xf>
    <xf numFmtId="4" fontId="9" fillId="0" borderId="1" xfId="0" applyNumberFormat="1" applyFont="1" applyBorder="1" applyAlignment="1">
      <alignment horizontal="center" vertical="center"/>
    </xf>
    <xf numFmtId="0" fontId="9" fillId="4" borderId="1" xfId="0" applyFont="1" applyFill="1" applyBorder="1" applyAlignment="1">
      <alignment vertical="center" wrapText="1"/>
    </xf>
    <xf numFmtId="2" fontId="7" fillId="4" borderId="1" xfId="0" applyNumberFormat="1" applyFont="1" applyFill="1" applyBorder="1" applyAlignment="1">
      <alignment horizontal="center" vertical="center"/>
    </xf>
    <xf numFmtId="2" fontId="9" fillId="4" borderId="1" xfId="1" applyNumberFormat="1" applyFont="1" applyFill="1" applyBorder="1" applyAlignment="1">
      <alignment horizontal="center" vertical="center"/>
    </xf>
    <xf numFmtId="0" fontId="13" fillId="0" borderId="1" xfId="0" applyFont="1" applyBorder="1" applyAlignment="1">
      <alignment horizontal="center" vertical="center"/>
    </xf>
    <xf numFmtId="0" fontId="7" fillId="0" borderId="1" xfId="0" applyFont="1" applyBorder="1" applyAlignment="1">
      <alignment horizontal="left" vertical="center" wrapText="1"/>
    </xf>
    <xf numFmtId="2" fontId="7" fillId="0" borderId="1" xfId="2" applyNumberFormat="1" applyFont="1" applyFill="1" applyBorder="1" applyAlignment="1">
      <alignment horizontal="center" vertical="center" wrapText="1"/>
    </xf>
    <xf numFmtId="0" fontId="7" fillId="4" borderId="25" xfId="0" applyFont="1" applyFill="1" applyBorder="1" applyAlignment="1">
      <alignment vertical="center" wrapText="1"/>
    </xf>
    <xf numFmtId="0" fontId="16" fillId="0" borderId="1" xfId="0" applyFont="1" applyBorder="1" applyAlignment="1">
      <alignment horizontal="center" vertical="center"/>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44" fontId="12" fillId="0" borderId="1" xfId="6" applyFont="1" applyBorder="1" applyAlignment="1">
      <alignment horizontal="center" vertical="center"/>
    </xf>
    <xf numFmtId="43" fontId="12" fillId="0" borderId="1" xfId="1" applyFont="1" applyBorder="1" applyAlignment="1">
      <alignment horizontal="center" vertical="center"/>
    </xf>
    <xf numFmtId="2" fontId="12" fillId="0" borderId="1" xfId="1" applyNumberFormat="1" applyFont="1" applyBorder="1" applyAlignment="1">
      <alignment horizontal="center" vertical="center"/>
    </xf>
    <xf numFmtId="43" fontId="15" fillId="0" borderId="1" xfId="1" applyFont="1" applyBorder="1" applyAlignment="1">
      <alignment horizontal="left" vertical="center"/>
    </xf>
    <xf numFmtId="0" fontId="19" fillId="6" borderId="7" xfId="0" applyFont="1" applyFill="1" applyBorder="1" applyAlignment="1">
      <alignment horizontal="center" vertical="center"/>
    </xf>
    <xf numFmtId="43" fontId="21" fillId="6" borderId="8" xfId="0" applyNumberFormat="1" applyFont="1" applyFill="1" applyBorder="1"/>
    <xf numFmtId="0" fontId="7" fillId="5" borderId="0" xfId="0" applyFont="1" applyFill="1" applyAlignment="1">
      <alignment horizontal="center"/>
    </xf>
    <xf numFmtId="0" fontId="7" fillId="5" borderId="0" xfId="0" applyFont="1" applyFill="1" applyAlignment="1">
      <alignment wrapText="1"/>
    </xf>
    <xf numFmtId="0" fontId="7" fillId="5" borderId="0" xfId="0" applyFont="1" applyFill="1" applyAlignment="1">
      <alignment horizontal="center" vertical="center"/>
    </xf>
    <xf numFmtId="2" fontId="7" fillId="5" borderId="0" xfId="0" applyNumberFormat="1" applyFont="1" applyFill="1" applyAlignment="1">
      <alignment horizontal="center" vertical="center"/>
    </xf>
    <xf numFmtId="2" fontId="7" fillId="5" borderId="0" xfId="0" applyNumberFormat="1" applyFont="1" applyFill="1"/>
    <xf numFmtId="0" fontId="16" fillId="5" borderId="0" xfId="0" applyFont="1" applyFill="1" applyAlignment="1">
      <alignment horizontal="center"/>
    </xf>
    <xf numFmtId="0" fontId="7" fillId="5" borderId="0" xfId="0" applyFont="1" applyFill="1" applyAlignment="1">
      <alignment horizontal="right" vertical="center" wrapText="1"/>
    </xf>
    <xf numFmtId="0" fontId="16" fillId="3" borderId="18" xfId="0" applyFont="1" applyFill="1" applyBorder="1" applyAlignment="1">
      <alignment horizontal="left"/>
    </xf>
    <xf numFmtId="0" fontId="16" fillId="3" borderId="19" xfId="0" applyFont="1" applyFill="1" applyBorder="1"/>
    <xf numFmtId="0" fontId="16" fillId="2" borderId="15" xfId="0" applyFont="1" applyFill="1" applyBorder="1" applyAlignment="1">
      <alignment horizontal="center" vertical="center" wrapText="1"/>
    </xf>
    <xf numFmtId="0" fontId="16" fillId="2" borderId="16" xfId="0" applyFont="1" applyFill="1" applyBorder="1" applyAlignment="1">
      <alignment vertical="center" wrapText="1"/>
    </xf>
    <xf numFmtId="0" fontId="16" fillId="2" borderId="16" xfId="0" applyFont="1" applyFill="1" applyBorder="1" applyAlignment="1">
      <alignment horizontal="center" vertical="center" wrapText="1"/>
    </xf>
    <xf numFmtId="2" fontId="7" fillId="2" borderId="16" xfId="0" applyNumberFormat="1" applyFont="1" applyFill="1" applyBorder="1" applyAlignment="1">
      <alignment horizontal="center" vertical="center" wrapText="1"/>
    </xf>
    <xf numFmtId="2" fontId="16" fillId="2" borderId="17" xfId="0" applyNumberFormat="1" applyFont="1" applyFill="1" applyBorder="1" applyAlignment="1">
      <alignment vertical="center" wrapText="1"/>
    </xf>
    <xf numFmtId="0" fontId="16" fillId="0" borderId="23" xfId="0" applyFont="1" applyBorder="1" applyAlignment="1">
      <alignment horizontal="center" vertical="center" wrapText="1"/>
    </xf>
    <xf numFmtId="0" fontId="16" fillId="0" borderId="24" xfId="0" applyFont="1" applyBorder="1" applyAlignment="1">
      <alignment horizontal="center" vertical="center" wrapText="1"/>
    </xf>
    <xf numFmtId="2" fontId="9" fillId="4" borderId="1" xfId="0" applyNumberFormat="1" applyFont="1" applyFill="1" applyBorder="1" applyAlignment="1">
      <alignment horizontal="center" vertical="center"/>
    </xf>
    <xf numFmtId="0" fontId="7" fillId="4" borderId="1" xfId="0" applyFont="1" applyFill="1" applyBorder="1" applyAlignment="1">
      <alignment wrapText="1"/>
    </xf>
    <xf numFmtId="0" fontId="7" fillId="4" borderId="1" xfId="0" applyFont="1" applyFill="1" applyBorder="1" applyAlignment="1">
      <alignment vertical="center"/>
    </xf>
    <xf numFmtId="0" fontId="18" fillId="3" borderId="18" xfId="0" applyFont="1" applyFill="1" applyBorder="1" applyAlignment="1">
      <alignment horizontal="left"/>
    </xf>
    <xf numFmtId="0" fontId="18" fillId="3" borderId="19" xfId="0" applyFont="1" applyFill="1" applyBorder="1"/>
    <xf numFmtId="2" fontId="16" fillId="2" borderId="16" xfId="0" applyNumberFormat="1" applyFont="1" applyFill="1" applyBorder="1" applyAlignment="1">
      <alignment horizontal="center" vertical="center" wrapText="1"/>
    </xf>
    <xf numFmtId="0" fontId="17" fillId="2" borderId="17" xfId="0" applyFont="1" applyFill="1" applyBorder="1" applyAlignment="1">
      <alignment vertical="center" wrapText="1"/>
    </xf>
    <xf numFmtId="0" fontId="17" fillId="0" borderId="24" xfId="0" applyFont="1" applyBorder="1" applyAlignment="1">
      <alignment vertical="center" wrapText="1"/>
    </xf>
    <xf numFmtId="0" fontId="22" fillId="4" borderId="1"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7" xfId="0" applyFont="1" applyFill="1" applyBorder="1" applyAlignment="1">
      <alignment horizontal="center" vertical="center" wrapText="1"/>
    </xf>
    <xf numFmtId="43" fontId="16" fillId="0" borderId="0" xfId="0" applyNumberFormat="1" applyFont="1"/>
    <xf numFmtId="0" fontId="16" fillId="0" borderId="0" xfId="0" applyFont="1"/>
    <xf numFmtId="43" fontId="9" fillId="4" borderId="1" xfId="1" applyFont="1" applyFill="1" applyBorder="1" applyAlignment="1">
      <alignment horizontal="center" vertical="center"/>
    </xf>
    <xf numFmtId="0" fontId="7" fillId="4" borderId="0" xfId="0" applyFont="1" applyFill="1"/>
    <xf numFmtId="0" fontId="9" fillId="0" borderId="25" xfId="0" applyFont="1" applyBorder="1" applyAlignment="1">
      <alignment vertical="center" wrapText="1"/>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5" xfId="0" applyFont="1" applyBorder="1" applyAlignment="1">
      <alignment horizontal="left" vertical="center" wrapText="1"/>
    </xf>
    <xf numFmtId="0" fontId="9" fillId="0" borderId="2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5" xfId="0" applyFont="1" applyBorder="1" applyAlignment="1">
      <alignment horizontal="center" vertical="center" wrapText="1"/>
    </xf>
    <xf numFmtId="0" fontId="7" fillId="5" borderId="0" xfId="0" applyFont="1" applyFill="1"/>
    <xf numFmtId="0" fontId="7" fillId="0" borderId="0" xfId="0" applyFont="1" applyAlignment="1">
      <alignment horizontal="center"/>
    </xf>
    <xf numFmtId="0" fontId="7" fillId="0" borderId="0" xfId="0" applyFont="1" applyAlignment="1">
      <alignment wrapText="1"/>
    </xf>
    <xf numFmtId="0" fontId="7" fillId="0" borderId="0" xfId="0" applyFont="1" applyAlignment="1">
      <alignment horizontal="center" vertical="center"/>
    </xf>
    <xf numFmtId="0" fontId="16" fillId="2" borderId="17" xfId="0" applyFont="1" applyFill="1" applyBorder="1" applyAlignment="1">
      <alignment vertical="center" wrapText="1"/>
    </xf>
    <xf numFmtId="0" fontId="16" fillId="0" borderId="24" xfId="0" applyFont="1" applyBorder="1" applyAlignment="1">
      <alignment vertical="center" wrapText="1"/>
    </xf>
    <xf numFmtId="0" fontId="12" fillId="6" borderId="7" xfId="0" applyFont="1" applyFill="1" applyBorder="1" applyAlignment="1">
      <alignment horizontal="center" vertical="center"/>
    </xf>
    <xf numFmtId="43" fontId="12" fillId="6" borderId="8" xfId="0" applyNumberFormat="1" applyFont="1" applyFill="1" applyBorder="1"/>
    <xf numFmtId="43" fontId="9" fillId="0" borderId="1" xfId="1" applyFont="1" applyBorder="1" applyAlignment="1">
      <alignment horizontal="left" vertical="center"/>
    </xf>
    <xf numFmtId="2" fontId="9" fillId="0" borderId="1" xfId="1" applyNumberFormat="1" applyFont="1" applyBorder="1" applyAlignment="1">
      <alignment horizontal="left" vertical="center"/>
    </xf>
    <xf numFmtId="2" fontId="12" fillId="6" borderId="8" xfId="0" applyNumberFormat="1" applyFont="1" applyFill="1" applyBorder="1"/>
    <xf numFmtId="0" fontId="23" fillId="3" borderId="18" xfId="0" applyFont="1" applyFill="1" applyBorder="1" applyAlignment="1">
      <alignment horizontal="left"/>
    </xf>
    <xf numFmtId="0" fontId="23" fillId="3" borderId="19" xfId="0" applyFont="1" applyFill="1" applyBorder="1"/>
    <xf numFmtId="0" fontId="12" fillId="4" borderId="25"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12" fillId="4" borderId="1" xfId="0" applyFont="1" applyFill="1" applyBorder="1" applyAlignment="1">
      <alignment vertical="center" wrapText="1"/>
    </xf>
    <xf numFmtId="0" fontId="9" fillId="5" borderId="0" xfId="0" applyFont="1" applyFill="1" applyAlignment="1">
      <alignment horizontal="center"/>
    </xf>
    <xf numFmtId="0" fontId="9" fillId="5" borderId="0" xfId="0" applyFont="1" applyFill="1" applyAlignment="1">
      <alignment wrapText="1"/>
    </xf>
    <xf numFmtId="0" fontId="9" fillId="5" borderId="0" xfId="0" applyFont="1" applyFill="1" applyAlignment="1">
      <alignment horizontal="center" vertical="center"/>
    </xf>
    <xf numFmtId="2" fontId="9" fillId="5" borderId="0" xfId="0" applyNumberFormat="1" applyFont="1" applyFill="1" applyAlignment="1">
      <alignment horizontal="center" vertical="center"/>
    </xf>
    <xf numFmtId="2" fontId="9" fillId="5" borderId="0" xfId="0" applyNumberFormat="1" applyFont="1" applyFill="1"/>
    <xf numFmtId="0" fontId="12" fillId="5" borderId="0" xfId="0" applyFont="1" applyFill="1" applyAlignment="1">
      <alignment horizontal="center"/>
    </xf>
    <xf numFmtId="0" fontId="9" fillId="5" borderId="0" xfId="0" applyFont="1" applyFill="1" applyAlignment="1">
      <alignment horizontal="right" vertical="center" wrapText="1"/>
    </xf>
    <xf numFmtId="0" fontId="12" fillId="2" borderId="15" xfId="0" applyFont="1" applyFill="1" applyBorder="1" applyAlignment="1">
      <alignment horizontal="center" vertical="center" wrapText="1"/>
    </xf>
    <xf numFmtId="0" fontId="12" fillId="2" borderId="16" xfId="0" applyFont="1" applyFill="1" applyBorder="1" applyAlignment="1">
      <alignment vertical="center" wrapText="1"/>
    </xf>
    <xf numFmtId="0" fontId="12" fillId="2" borderId="16" xfId="0" applyFont="1" applyFill="1" applyBorder="1" applyAlignment="1">
      <alignment horizontal="center" vertical="center" wrapText="1"/>
    </xf>
    <xf numFmtId="2" fontId="9" fillId="2" borderId="16" xfId="0" applyNumberFormat="1" applyFont="1" applyFill="1" applyBorder="1" applyAlignment="1">
      <alignment horizontal="center" vertical="center" wrapText="1"/>
    </xf>
    <xf numFmtId="2" fontId="12" fillId="2" borderId="17" xfId="0" applyNumberFormat="1" applyFont="1" applyFill="1" applyBorder="1" applyAlignment="1">
      <alignment vertical="center" wrapText="1"/>
    </xf>
    <xf numFmtId="0" fontId="12" fillId="0" borderId="23" xfId="0" applyFont="1" applyBorder="1" applyAlignment="1">
      <alignment horizontal="center" vertical="center" wrapText="1"/>
    </xf>
    <xf numFmtId="0" fontId="12" fillId="0" borderId="24" xfId="0" applyFont="1" applyBorder="1" applyAlignment="1">
      <alignment vertical="center" wrapText="1"/>
    </xf>
    <xf numFmtId="0" fontId="12" fillId="0" borderId="24" xfId="0" applyFont="1" applyBorder="1" applyAlignment="1">
      <alignment horizontal="center" vertical="center" wrapText="1"/>
    </xf>
    <xf numFmtId="43" fontId="22" fillId="4" borderId="1" xfId="1" applyFont="1" applyFill="1" applyBorder="1" applyAlignment="1">
      <alignment horizontal="center" vertical="center" wrapText="1"/>
    </xf>
    <xf numFmtId="43" fontId="9" fillId="4" borderId="1" xfId="1" applyFont="1" applyFill="1" applyBorder="1" applyAlignment="1">
      <alignment horizontal="center" vertical="center" wrapText="1"/>
    </xf>
    <xf numFmtId="166" fontId="9" fillId="4" borderId="1" xfId="1" applyNumberFormat="1" applyFont="1" applyFill="1" applyBorder="1" applyAlignment="1">
      <alignment horizontal="center" vertical="center" wrapText="1"/>
    </xf>
    <xf numFmtId="0" fontId="15" fillId="8" borderId="1" xfId="0" applyFont="1" applyFill="1" applyBorder="1" applyAlignment="1">
      <alignment horizontal="center" vertical="center"/>
    </xf>
    <xf numFmtId="0" fontId="9" fillId="8" borderId="1" xfId="0" applyFont="1" applyFill="1" applyBorder="1" applyAlignment="1">
      <alignment vertical="center" wrapText="1"/>
    </xf>
    <xf numFmtId="0" fontId="9" fillId="8" borderId="1" xfId="0" applyFont="1" applyFill="1" applyBorder="1" applyAlignment="1">
      <alignment horizontal="center" vertical="center"/>
    </xf>
    <xf numFmtId="43" fontId="9" fillId="8" borderId="1" xfId="1" applyFont="1" applyFill="1" applyBorder="1" applyAlignment="1">
      <alignment horizontal="center" vertical="center"/>
    </xf>
    <xf numFmtId="0" fontId="15" fillId="4" borderId="1" xfId="0" applyFont="1" applyFill="1" applyBorder="1" applyAlignment="1">
      <alignment horizontal="center" vertical="center"/>
    </xf>
    <xf numFmtId="0" fontId="16" fillId="0" borderId="23" xfId="0" applyFont="1" applyBorder="1" applyAlignment="1">
      <alignment horizontal="center" vertical="center"/>
    </xf>
    <xf numFmtId="0" fontId="12" fillId="0" borderId="0" xfId="0" applyFont="1" applyAlignment="1">
      <alignment horizontal="center" vertical="center" wrapText="1"/>
    </xf>
    <xf numFmtId="49" fontId="24" fillId="0" borderId="1" xfId="0" applyNumberFormat="1" applyFont="1" applyBorder="1" applyAlignment="1">
      <alignment horizontal="justify" vertical="top" wrapText="1"/>
    </xf>
    <xf numFmtId="0" fontId="25" fillId="0" borderId="1" xfId="0" applyFont="1" applyBorder="1" applyAlignment="1">
      <alignment vertical="center" wrapText="1"/>
    </xf>
    <xf numFmtId="2" fontId="13" fillId="0" borderId="1" xfId="0" applyNumberFormat="1" applyFont="1" applyBorder="1" applyAlignment="1">
      <alignment horizontal="center" vertical="center"/>
    </xf>
    <xf numFmtId="0" fontId="24" fillId="0" borderId="1" xfId="0" applyFont="1" applyBorder="1" applyAlignment="1">
      <alignment vertical="center" wrapText="1"/>
    </xf>
    <xf numFmtId="0" fontId="16" fillId="6" borderId="1" xfId="0" applyFont="1" applyFill="1" applyBorder="1" applyAlignment="1">
      <alignment horizontal="center" vertical="center"/>
    </xf>
    <xf numFmtId="0" fontId="12" fillId="6" borderId="1" xfId="0" applyFont="1" applyFill="1" applyBorder="1" applyAlignment="1">
      <alignment horizontal="left" vertical="center" wrapText="1"/>
    </xf>
    <xf numFmtId="0" fontId="12" fillId="6" borderId="1" xfId="0" applyFont="1" applyFill="1" applyBorder="1" applyAlignment="1">
      <alignment horizontal="center" vertical="center" wrapText="1"/>
    </xf>
    <xf numFmtId="2" fontId="9" fillId="6" borderId="1" xfId="0" applyNumberFormat="1" applyFont="1" applyFill="1" applyBorder="1" applyAlignment="1">
      <alignment horizontal="center" vertical="center" wrapText="1"/>
    </xf>
    <xf numFmtId="2" fontId="12" fillId="6" borderId="1" xfId="1" applyNumberFormat="1" applyFont="1" applyFill="1" applyBorder="1" applyAlignment="1">
      <alignment horizontal="center" vertical="center"/>
    </xf>
    <xf numFmtId="0" fontId="7" fillId="0" borderId="11" xfId="0" applyFont="1" applyBorder="1" applyAlignment="1">
      <alignment horizontal="center" vertical="center"/>
    </xf>
    <xf numFmtId="0" fontId="16" fillId="7" borderId="5" xfId="0" applyFont="1" applyFill="1" applyBorder="1" applyAlignment="1">
      <alignment horizontal="center" vertical="center"/>
    </xf>
    <xf numFmtId="0" fontId="7" fillId="0" borderId="13" xfId="0" applyFont="1" applyBorder="1"/>
    <xf numFmtId="0" fontId="7" fillId="0" borderId="11" xfId="0" applyFont="1" applyBorder="1"/>
    <xf numFmtId="44" fontId="7" fillId="0" borderId="14" xfId="6" applyFont="1" applyBorder="1"/>
    <xf numFmtId="0" fontId="26" fillId="4" borderId="33" xfId="0" applyFont="1" applyFill="1" applyBorder="1"/>
    <xf numFmtId="44" fontId="7" fillId="0" borderId="3" xfId="6" applyFont="1" applyBorder="1"/>
    <xf numFmtId="0" fontId="7" fillId="0" borderId="24" xfId="0" applyFont="1" applyBorder="1"/>
    <xf numFmtId="0" fontId="26" fillId="11" borderId="1" xfId="0" applyFont="1" applyFill="1" applyBorder="1"/>
    <xf numFmtId="0" fontId="7" fillId="0" borderId="48" xfId="0" applyFont="1" applyBorder="1"/>
    <xf numFmtId="0" fontId="7" fillId="0" borderId="24" xfId="0" applyFont="1" applyBorder="1" applyAlignment="1">
      <alignment horizontal="center" vertical="center"/>
    </xf>
    <xf numFmtId="44" fontId="7" fillId="0" borderId="49" xfId="6" applyFont="1" applyBorder="1"/>
    <xf numFmtId="0" fontId="16" fillId="0" borderId="28" xfId="0" applyFont="1" applyBorder="1" applyAlignment="1">
      <alignment vertical="center"/>
    </xf>
    <xf numFmtId="0" fontId="16" fillId="0" borderId="29" xfId="0" applyFont="1" applyBorder="1" applyAlignment="1">
      <alignment vertical="center"/>
    </xf>
    <xf numFmtId="0" fontId="16" fillId="0" borderId="29" xfId="0" applyFont="1" applyBorder="1" applyAlignment="1">
      <alignment horizontal="center" vertical="center"/>
    </xf>
    <xf numFmtId="44" fontId="16" fillId="0" borderId="30" xfId="6" applyFont="1" applyBorder="1" applyAlignment="1">
      <alignment horizontal="center" vertical="center"/>
    </xf>
    <xf numFmtId="0" fontId="16" fillId="0" borderId="0" xfId="0" applyFont="1" applyAlignment="1">
      <alignment vertical="center"/>
    </xf>
    <xf numFmtId="43" fontId="7" fillId="4" borderId="1" xfId="0" applyNumberFormat="1" applyFont="1" applyFill="1" applyBorder="1"/>
    <xf numFmtId="43" fontId="27" fillId="4" borderId="1" xfId="0" applyNumberFormat="1" applyFont="1" applyFill="1" applyBorder="1"/>
    <xf numFmtId="43" fontId="28" fillId="4" borderId="1" xfId="0" applyNumberFormat="1" applyFont="1" applyFill="1" applyBorder="1"/>
    <xf numFmtId="0" fontId="16" fillId="16" borderId="1" xfId="0" applyFont="1" applyFill="1" applyBorder="1"/>
    <xf numFmtId="0" fontId="16" fillId="4" borderId="29" xfId="0" applyFont="1" applyFill="1" applyBorder="1" applyAlignment="1">
      <alignment vertical="center"/>
    </xf>
    <xf numFmtId="167" fontId="7" fillId="16" borderId="1" xfId="0" applyNumberFormat="1" applyFont="1" applyFill="1" applyBorder="1" applyAlignment="1">
      <alignment horizontal="center"/>
    </xf>
    <xf numFmtId="3" fontId="7" fillId="17" borderId="1" xfId="0" applyNumberFormat="1" applyFont="1" applyFill="1" applyBorder="1"/>
    <xf numFmtId="167" fontId="7" fillId="16" borderId="1" xfId="0" applyNumberFormat="1" applyFont="1" applyFill="1" applyBorder="1"/>
    <xf numFmtId="43" fontId="7" fillId="17" borderId="1" xfId="0" applyNumberFormat="1" applyFont="1" applyFill="1" applyBorder="1"/>
    <xf numFmtId="43" fontId="7" fillId="0" borderId="0" xfId="0" applyNumberFormat="1" applyFont="1"/>
    <xf numFmtId="44" fontId="7" fillId="0" borderId="0" xfId="6" applyFont="1"/>
    <xf numFmtId="43" fontId="16" fillId="17" borderId="1" xfId="1" applyFont="1" applyFill="1" applyBorder="1"/>
    <xf numFmtId="0" fontId="7" fillId="18" borderId="1" xfId="0" applyFont="1" applyFill="1" applyBorder="1"/>
    <xf numFmtId="0" fontId="16" fillId="17" borderId="1" xfId="0" applyFont="1" applyFill="1" applyBorder="1"/>
    <xf numFmtId="43" fontId="7" fillId="17" borderId="1" xfId="1" applyFont="1" applyFill="1" applyBorder="1"/>
    <xf numFmtId="43" fontId="7" fillId="17" borderId="1" xfId="1" applyFont="1" applyFill="1" applyBorder="1" applyAlignment="1">
      <alignment vertical="top"/>
    </xf>
    <xf numFmtId="0" fontId="7" fillId="18" borderId="1" xfId="0" applyFont="1" applyFill="1" applyBorder="1" applyAlignment="1">
      <alignment horizontal="center" vertical="center"/>
    </xf>
    <xf numFmtId="0" fontId="7" fillId="17" borderId="1" xfId="0" applyFont="1" applyFill="1" applyBorder="1"/>
    <xf numFmtId="44" fontId="7" fillId="18" borderId="3" xfId="6" applyFont="1" applyFill="1" applyBorder="1"/>
    <xf numFmtId="0" fontId="7" fillId="18" borderId="0" xfId="0" applyFont="1" applyFill="1"/>
    <xf numFmtId="0" fontId="7" fillId="14" borderId="1" xfId="0" applyFont="1" applyFill="1" applyBorder="1"/>
    <xf numFmtId="0" fontId="26" fillId="14" borderId="1" xfId="0" applyFont="1" applyFill="1" applyBorder="1"/>
    <xf numFmtId="1" fontId="16" fillId="7" borderId="5" xfId="0" applyNumberFormat="1" applyFont="1" applyFill="1" applyBorder="1" applyAlignment="1">
      <alignment horizontal="center" vertical="center"/>
    </xf>
    <xf numFmtId="1" fontId="7" fillId="0" borderId="11" xfId="0" applyNumberFormat="1" applyFont="1" applyBorder="1" applyAlignment="1">
      <alignment horizontal="center" vertical="center"/>
    </xf>
    <xf numFmtId="1" fontId="7" fillId="0" borderId="1" xfId="0" applyNumberFormat="1" applyFont="1" applyBorder="1" applyAlignment="1">
      <alignment horizontal="center" vertical="center"/>
    </xf>
    <xf numFmtId="1" fontId="7" fillId="18" borderId="1" xfId="0" applyNumberFormat="1" applyFont="1" applyFill="1" applyBorder="1" applyAlignment="1">
      <alignment horizontal="center" vertical="center"/>
    </xf>
    <xf numFmtId="1" fontId="7" fillId="0" borderId="24" xfId="0" applyNumberFormat="1" applyFont="1" applyBorder="1" applyAlignment="1">
      <alignment horizontal="center" vertical="center"/>
    </xf>
    <xf numFmtId="1" fontId="16" fillId="0" borderId="29" xfId="0" applyNumberFormat="1" applyFont="1" applyBorder="1" applyAlignment="1">
      <alignment horizontal="center" vertical="center"/>
    </xf>
    <xf numFmtId="1" fontId="7" fillId="0" borderId="0" xfId="0" applyNumberFormat="1" applyFont="1" applyAlignment="1">
      <alignment horizontal="center" vertical="center"/>
    </xf>
    <xf numFmtId="0" fontId="7" fillId="12" borderId="1" xfId="0" applyFont="1" applyFill="1" applyBorder="1"/>
    <xf numFmtId="0" fontId="7" fillId="12" borderId="1" xfId="0" applyFont="1" applyFill="1" applyBorder="1" applyAlignment="1">
      <alignment horizontal="center" vertical="center"/>
    </xf>
    <xf numFmtId="1" fontId="7" fillId="12" borderId="1" xfId="0" applyNumberFormat="1" applyFont="1" applyFill="1" applyBorder="1" applyAlignment="1">
      <alignment horizontal="center" vertical="center"/>
    </xf>
    <xf numFmtId="44" fontId="7" fillId="12" borderId="3" xfId="6" applyFont="1" applyFill="1" applyBorder="1"/>
    <xf numFmtId="0" fontId="7" fillId="12" borderId="0" xfId="0" applyFont="1" applyFill="1"/>
    <xf numFmtId="0" fontId="7" fillId="12" borderId="24" xfId="0" applyFont="1" applyFill="1" applyBorder="1"/>
    <xf numFmtId="0" fontId="7" fillId="21" borderId="13" xfId="0" applyFont="1" applyFill="1" applyBorder="1"/>
    <xf numFmtId="0" fontId="7" fillId="21" borderId="1" xfId="0" applyFont="1" applyFill="1" applyBorder="1"/>
    <xf numFmtId="0" fontId="7" fillId="21" borderId="1" xfId="0" applyFont="1" applyFill="1" applyBorder="1" applyAlignment="1">
      <alignment horizontal="center" vertical="center"/>
    </xf>
    <xf numFmtId="1" fontId="7" fillId="21" borderId="1" xfId="0" applyNumberFormat="1" applyFont="1" applyFill="1" applyBorder="1" applyAlignment="1">
      <alignment horizontal="center" vertical="center"/>
    </xf>
    <xf numFmtId="44" fontId="7" fillId="21" borderId="3" xfId="6" applyFont="1" applyFill="1" applyBorder="1"/>
    <xf numFmtId="0" fontId="7" fillId="21" borderId="0" xfId="0" applyFont="1" applyFill="1"/>
    <xf numFmtId="2" fontId="7" fillId="21" borderId="1" xfId="0" applyNumberFormat="1" applyFont="1" applyFill="1" applyBorder="1"/>
    <xf numFmtId="43" fontId="7" fillId="21" borderId="1" xfId="1" applyFont="1" applyFill="1" applyBorder="1"/>
    <xf numFmtId="43" fontId="7" fillId="21" borderId="25" xfId="1" applyFont="1" applyFill="1" applyBorder="1"/>
    <xf numFmtId="43" fontId="7" fillId="21" borderId="1" xfId="0" applyNumberFormat="1" applyFont="1" applyFill="1" applyBorder="1"/>
    <xf numFmtId="166" fontId="7" fillId="21" borderId="1" xfId="0" applyNumberFormat="1" applyFont="1" applyFill="1" applyBorder="1" applyAlignment="1">
      <alignment horizontal="center" vertical="center"/>
    </xf>
    <xf numFmtId="0" fontId="7" fillId="16" borderId="11" xfId="0" applyFont="1" applyFill="1" applyBorder="1" applyAlignment="1">
      <alignment horizontal="center" vertical="center"/>
    </xf>
    <xf numFmtId="44" fontId="7" fillId="16" borderId="1" xfId="0" applyNumberFormat="1" applyFont="1" applyFill="1" applyBorder="1"/>
    <xf numFmtId="44" fontId="7" fillId="16" borderId="1" xfId="6" applyFont="1" applyFill="1" applyBorder="1"/>
    <xf numFmtId="0" fontId="7" fillId="16" borderId="1" xfId="0" applyFont="1" applyFill="1" applyBorder="1" applyAlignment="1">
      <alignment horizontal="center" vertical="center"/>
    </xf>
    <xf numFmtId="43" fontId="7" fillId="16" borderId="1" xfId="1" applyFont="1" applyFill="1" applyBorder="1"/>
    <xf numFmtId="167" fontId="7" fillId="16" borderId="1" xfId="1" applyNumberFormat="1" applyFont="1" applyFill="1" applyBorder="1"/>
    <xf numFmtId="0" fontId="7" fillId="16" borderId="24" xfId="0" applyFont="1" applyFill="1" applyBorder="1" applyAlignment="1">
      <alignment horizontal="center" vertical="center"/>
    </xf>
    <xf numFmtId="167" fontId="16" fillId="16" borderId="1" xfId="0" applyNumberFormat="1" applyFont="1" applyFill="1" applyBorder="1" applyAlignment="1">
      <alignment vertical="center"/>
    </xf>
    <xf numFmtId="43" fontId="16" fillId="16" borderId="1" xfId="1" applyFont="1" applyFill="1" applyBorder="1" applyAlignment="1">
      <alignment vertical="center"/>
    </xf>
    <xf numFmtId="1" fontId="16" fillId="22" borderId="1" xfId="0" applyNumberFormat="1" applyFont="1" applyFill="1" applyBorder="1" applyAlignment="1">
      <alignment horizontal="center"/>
    </xf>
    <xf numFmtId="0" fontId="16" fillId="22" borderId="1" xfId="0" applyFont="1" applyFill="1" applyBorder="1" applyAlignment="1">
      <alignment horizontal="center"/>
    </xf>
    <xf numFmtId="43" fontId="7" fillId="22" borderId="1" xfId="1" applyFont="1" applyFill="1" applyBorder="1" applyAlignment="1">
      <alignment horizontal="center" vertical="center"/>
    </xf>
    <xf numFmtId="167" fontId="7" fillId="22" borderId="1" xfId="6" applyNumberFormat="1" applyFont="1" applyFill="1" applyBorder="1" applyAlignment="1">
      <alignment horizontal="right" vertical="center"/>
    </xf>
    <xf numFmtId="0" fontId="7" fillId="22" borderId="1" xfId="0" applyFont="1" applyFill="1" applyBorder="1" applyAlignment="1">
      <alignment horizontal="center" vertical="center"/>
    </xf>
    <xf numFmtId="43" fontId="7" fillId="22" borderId="1" xfId="1" applyFont="1" applyFill="1" applyBorder="1"/>
    <xf numFmtId="167" fontId="16" fillId="22" borderId="1" xfId="6" applyNumberFormat="1" applyFont="1" applyFill="1" applyBorder="1" applyAlignment="1">
      <alignment horizontal="right"/>
    </xf>
    <xf numFmtId="167" fontId="7" fillId="22" borderId="1" xfId="0" applyNumberFormat="1" applyFont="1" applyFill="1" applyBorder="1"/>
    <xf numFmtId="0" fontId="12" fillId="21" borderId="1" xfId="0" applyFont="1" applyFill="1" applyBorder="1" applyAlignment="1">
      <alignment horizontal="center"/>
    </xf>
    <xf numFmtId="0" fontId="7" fillId="21" borderId="11" xfId="0" applyFont="1" applyFill="1" applyBorder="1" applyAlignment="1">
      <alignment horizontal="center" vertical="center"/>
    </xf>
    <xf numFmtId="166" fontId="16" fillId="21" borderId="24" xfId="0" applyNumberFormat="1" applyFont="1" applyFill="1" applyBorder="1" applyAlignment="1">
      <alignment horizontal="center" vertical="center"/>
    </xf>
    <xf numFmtId="0" fontId="16" fillId="21" borderId="1" xfId="0" applyFont="1" applyFill="1" applyBorder="1" applyAlignment="1">
      <alignment vertical="center"/>
    </xf>
    <xf numFmtId="43" fontId="16" fillId="21" borderId="1" xfId="0" applyNumberFormat="1" applyFont="1" applyFill="1" applyBorder="1" applyAlignment="1">
      <alignment vertical="center"/>
    </xf>
    <xf numFmtId="3" fontId="7" fillId="21" borderId="1" xfId="0" applyNumberFormat="1" applyFont="1" applyFill="1" applyBorder="1" applyAlignment="1">
      <alignment horizontal="center"/>
    </xf>
    <xf numFmtId="1" fontId="7" fillId="17" borderId="11" xfId="0" applyNumberFormat="1" applyFont="1" applyFill="1" applyBorder="1" applyAlignment="1">
      <alignment horizontal="center" vertical="center"/>
    </xf>
    <xf numFmtId="1" fontId="7" fillId="17" borderId="1" xfId="0" applyNumberFormat="1" applyFont="1" applyFill="1" applyBorder="1" applyAlignment="1">
      <alignment horizontal="center" vertical="center"/>
    </xf>
    <xf numFmtId="43" fontId="16" fillId="17" borderId="1" xfId="0" applyNumberFormat="1" applyFont="1" applyFill="1" applyBorder="1" applyAlignment="1">
      <alignment horizontal="center" vertical="center"/>
    </xf>
    <xf numFmtId="43" fontId="16" fillId="17" borderId="1" xfId="1" applyFont="1" applyFill="1" applyBorder="1" applyAlignment="1">
      <alignment vertical="center"/>
    </xf>
    <xf numFmtId="0" fontId="16" fillId="21" borderId="1" xfId="0" applyFont="1" applyFill="1" applyBorder="1"/>
    <xf numFmtId="0" fontId="16" fillId="21" borderId="25" xfId="0" applyFont="1" applyFill="1" applyBorder="1"/>
    <xf numFmtId="43" fontId="16" fillId="21" borderId="25" xfId="0" applyNumberFormat="1" applyFont="1" applyFill="1" applyBorder="1" applyAlignment="1">
      <alignment vertical="center"/>
    </xf>
    <xf numFmtId="3" fontId="7" fillId="21" borderId="1" xfId="0" applyNumberFormat="1" applyFont="1" applyFill="1" applyBorder="1"/>
    <xf numFmtId="0" fontId="7" fillId="17" borderId="11" xfId="0" applyFont="1" applyFill="1" applyBorder="1" applyAlignment="1">
      <alignment horizontal="center" vertical="center"/>
    </xf>
    <xf numFmtId="0" fontId="7" fillId="17" borderId="1" xfId="0" applyFont="1" applyFill="1" applyBorder="1" applyAlignment="1">
      <alignment horizontal="center" vertical="center"/>
    </xf>
    <xf numFmtId="0" fontId="7" fillId="17" borderId="24" xfId="0" applyFont="1" applyFill="1" applyBorder="1" applyAlignment="1">
      <alignment horizontal="center" vertical="center"/>
    </xf>
    <xf numFmtId="0" fontId="7" fillId="17" borderId="0" xfId="0" applyFont="1" applyFill="1"/>
    <xf numFmtId="43" fontId="16" fillId="16" borderId="1" xfId="1" applyFont="1" applyFill="1" applyBorder="1"/>
    <xf numFmtId="0" fontId="7" fillId="16" borderId="1" xfId="1" applyNumberFormat="1" applyFont="1" applyFill="1" applyBorder="1" applyAlignment="1">
      <alignment horizontal="left" vertical="center"/>
    </xf>
    <xf numFmtId="43" fontId="7" fillId="16" borderId="1" xfId="1" applyFont="1" applyFill="1" applyBorder="1" applyAlignment="1">
      <alignment horizontal="left" vertical="center"/>
    </xf>
    <xf numFmtId="0" fontId="16" fillId="16" borderId="1" xfId="0" applyFont="1" applyFill="1" applyBorder="1" applyAlignment="1">
      <alignment vertical="center"/>
    </xf>
    <xf numFmtId="43" fontId="16" fillId="16" borderId="1" xfId="1" applyFont="1" applyFill="1" applyBorder="1" applyAlignment="1">
      <alignment horizontal="left" vertical="center"/>
    </xf>
    <xf numFmtId="3" fontId="7" fillId="16" borderId="1" xfId="0" applyNumberFormat="1" applyFont="1" applyFill="1" applyBorder="1" applyAlignment="1">
      <alignment horizontal="left" vertical="center"/>
    </xf>
    <xf numFmtId="43" fontId="7" fillId="16" borderId="1" xfId="0" applyNumberFormat="1" applyFont="1" applyFill="1" applyBorder="1"/>
    <xf numFmtId="0" fontId="7" fillId="23" borderId="1" xfId="0" applyFont="1" applyFill="1" applyBorder="1"/>
    <xf numFmtId="0" fontId="7" fillId="23" borderId="11" xfId="0" applyFont="1" applyFill="1" applyBorder="1" applyAlignment="1">
      <alignment horizontal="center" vertical="center"/>
    </xf>
    <xf numFmtId="0" fontId="7" fillId="23" borderId="1" xfId="0" applyFont="1" applyFill="1" applyBorder="1" applyAlignment="1">
      <alignment horizontal="center" vertical="center"/>
    </xf>
    <xf numFmtId="0" fontId="7" fillId="23" borderId="0" xfId="0" applyFont="1" applyFill="1"/>
    <xf numFmtId="0" fontId="7" fillId="23" borderId="1" xfId="0" applyFont="1" applyFill="1" applyBorder="1" applyAlignment="1">
      <alignment vertical="center"/>
    </xf>
    <xf numFmtId="0" fontId="7" fillId="24" borderId="1" xfId="0" applyFont="1" applyFill="1" applyBorder="1"/>
    <xf numFmtId="43" fontId="16" fillId="24" borderId="1" xfId="1" applyFont="1" applyFill="1" applyBorder="1"/>
    <xf numFmtId="0" fontId="7" fillId="24" borderId="11" xfId="0" applyFont="1" applyFill="1" applyBorder="1" applyAlignment="1">
      <alignment horizontal="center" vertical="center"/>
    </xf>
    <xf numFmtId="167" fontId="7" fillId="24" borderId="11" xfId="0" applyNumberFormat="1" applyFont="1" applyFill="1" applyBorder="1" applyAlignment="1">
      <alignment horizontal="center" vertical="center"/>
    </xf>
    <xf numFmtId="167" fontId="7" fillId="24" borderId="1" xfId="0" applyNumberFormat="1" applyFont="1" applyFill="1" applyBorder="1" applyAlignment="1">
      <alignment horizontal="center" vertical="center"/>
    </xf>
    <xf numFmtId="0" fontId="7" fillId="24" borderId="1" xfId="0" applyFont="1" applyFill="1" applyBorder="1" applyAlignment="1">
      <alignment horizontal="center" vertical="center"/>
    </xf>
    <xf numFmtId="0" fontId="16" fillId="24" borderId="1" xfId="0" applyFont="1" applyFill="1" applyBorder="1" applyAlignment="1">
      <alignment horizontal="center" vertical="center"/>
    </xf>
    <xf numFmtId="167" fontId="7" fillId="24" borderId="1" xfId="0" applyNumberFormat="1" applyFont="1" applyFill="1" applyBorder="1" applyAlignment="1">
      <alignment vertical="center"/>
    </xf>
    <xf numFmtId="167" fontId="16" fillId="24" borderId="1" xfId="0" applyNumberFormat="1" applyFont="1" applyFill="1" applyBorder="1" applyAlignment="1">
      <alignment vertical="center"/>
    </xf>
    <xf numFmtId="4" fontId="7" fillId="24" borderId="1" xfId="0" applyNumberFormat="1" applyFont="1" applyFill="1" applyBorder="1" applyAlignment="1">
      <alignment horizontal="center" vertical="center"/>
    </xf>
    <xf numFmtId="43" fontId="7" fillId="24" borderId="1" xfId="0" applyNumberFormat="1" applyFont="1" applyFill="1" applyBorder="1"/>
    <xf numFmtId="0" fontId="16" fillId="15" borderId="1" xfId="0" applyFont="1" applyFill="1" applyBorder="1" applyAlignment="1">
      <alignment horizontal="center"/>
    </xf>
    <xf numFmtId="43" fontId="29" fillId="15" borderId="1" xfId="1" applyFont="1" applyFill="1" applyBorder="1"/>
    <xf numFmtId="43" fontId="29" fillId="15" borderId="1" xfId="1" applyFont="1" applyFill="1" applyBorder="1" applyAlignment="1">
      <alignment horizontal="center"/>
    </xf>
    <xf numFmtId="43" fontId="7" fillId="15" borderId="57" xfId="0" applyNumberFormat="1" applyFont="1" applyFill="1" applyBorder="1" applyAlignment="1">
      <alignment horizontal="center" vertical="center"/>
    </xf>
    <xf numFmtId="43" fontId="7" fillId="15" borderId="58" xfId="0" applyNumberFormat="1" applyFont="1" applyFill="1" applyBorder="1" applyAlignment="1">
      <alignment horizontal="center" vertical="center"/>
    </xf>
    <xf numFmtId="16" fontId="7" fillId="15" borderId="11" xfId="0" applyNumberFormat="1" applyFont="1" applyFill="1" applyBorder="1" applyAlignment="1">
      <alignment horizontal="center" vertical="center"/>
    </xf>
    <xf numFmtId="15" fontId="7" fillId="15" borderId="11" xfId="0" applyNumberFormat="1" applyFont="1" applyFill="1" applyBorder="1" applyAlignment="1">
      <alignment horizontal="center" vertical="center"/>
    </xf>
    <xf numFmtId="43" fontId="7" fillId="15" borderId="1" xfId="0" applyNumberFormat="1" applyFont="1" applyFill="1" applyBorder="1" applyAlignment="1">
      <alignment horizontal="center" vertical="center"/>
    </xf>
    <xf numFmtId="0" fontId="7" fillId="15" borderId="0" xfId="0" applyFont="1" applyFill="1"/>
    <xf numFmtId="0" fontId="32" fillId="20" borderId="1" xfId="0" applyFont="1" applyFill="1" applyBorder="1"/>
    <xf numFmtId="0" fontId="33" fillId="25" borderId="25" xfId="0" applyFont="1" applyFill="1" applyBorder="1"/>
    <xf numFmtId="0" fontId="33" fillId="25" borderId="26" xfId="0" applyFont="1" applyFill="1" applyBorder="1"/>
    <xf numFmtId="0" fontId="33" fillId="8" borderId="25" xfId="0" applyFont="1" applyFill="1" applyBorder="1"/>
    <xf numFmtId="0" fontId="33" fillId="8" borderId="26" xfId="0" applyFont="1" applyFill="1" applyBorder="1"/>
    <xf numFmtId="0" fontId="5" fillId="0" borderId="1" xfId="0" applyFont="1" applyBorder="1" applyAlignment="1">
      <alignment vertical="top"/>
    </xf>
    <xf numFmtId="0" fontId="5" fillId="0" borderId="59" xfId="0" applyFont="1" applyBorder="1" applyAlignment="1">
      <alignment vertical="top"/>
    </xf>
    <xf numFmtId="0" fontId="5" fillId="0" borderId="1" xfId="0" applyFont="1" applyBorder="1" applyAlignment="1">
      <alignment horizontal="center" vertical="top" wrapText="1"/>
    </xf>
    <xf numFmtId="0" fontId="0" fillId="0" borderId="1" xfId="0" applyBorder="1" applyAlignment="1">
      <alignment vertical="top"/>
    </xf>
    <xf numFmtId="0" fontId="30" fillId="0" borderId="11" xfId="0" applyFont="1" applyBorder="1" applyAlignment="1">
      <alignment horizontal="center" vertical="center"/>
    </xf>
    <xf numFmtId="0" fontId="0" fillId="0" borderId="1" xfId="0" applyBorder="1" applyAlignment="1">
      <alignment vertical="top" wrapText="1"/>
    </xf>
    <xf numFmtId="0" fontId="0" fillId="0" borderId="1" xfId="0" applyBorder="1"/>
    <xf numFmtId="0" fontId="0" fillId="0" borderId="1" xfId="0" applyBorder="1" applyAlignment="1">
      <alignment horizontal="center" vertical="center"/>
    </xf>
    <xf numFmtId="0" fontId="30" fillId="0" borderId="1" xfId="0" applyFont="1" applyBorder="1" applyAlignment="1">
      <alignment horizontal="center" vertical="center"/>
    </xf>
    <xf numFmtId="0" fontId="0" fillId="4" borderId="1" xfId="0" applyFill="1" applyBorder="1" applyAlignment="1">
      <alignment vertical="top"/>
    </xf>
    <xf numFmtId="0" fontId="0" fillId="4" borderId="1" xfId="0" applyFill="1" applyBorder="1" applyAlignment="1">
      <alignment vertical="top" wrapText="1"/>
    </xf>
    <xf numFmtId="0" fontId="0" fillId="4" borderId="1" xfId="0" applyFill="1" applyBorder="1"/>
    <xf numFmtId="0" fontId="5" fillId="20" borderId="1" xfId="0" applyFont="1" applyFill="1" applyBorder="1"/>
    <xf numFmtId="0" fontId="5" fillId="20" borderId="25" xfId="0" applyFont="1" applyFill="1" applyBorder="1"/>
    <xf numFmtId="0" fontId="5" fillId="20" borderId="26" xfId="0" applyFont="1" applyFill="1" applyBorder="1"/>
    <xf numFmtId="0" fontId="5" fillId="20" borderId="27" xfId="0" applyFont="1" applyFill="1" applyBorder="1"/>
    <xf numFmtId="0" fontId="5" fillId="20" borderId="1" xfId="0" applyFont="1" applyFill="1" applyBorder="1" applyAlignment="1">
      <alignment horizontal="center"/>
    </xf>
    <xf numFmtId="0" fontId="5" fillId="20" borderId="1" xfId="0" applyFont="1" applyFill="1" applyBorder="1" applyAlignment="1">
      <alignment horizontal="center" vertical="center"/>
    </xf>
    <xf numFmtId="0" fontId="34" fillId="8" borderId="25" xfId="0" applyFont="1" applyFill="1" applyBorder="1" applyAlignment="1">
      <alignment horizontal="left"/>
    </xf>
    <xf numFmtId="0" fontId="34" fillId="8" borderId="26" xfId="0" applyFont="1" applyFill="1" applyBorder="1" applyAlignment="1">
      <alignment horizontal="left"/>
    </xf>
    <xf numFmtId="0" fontId="34" fillId="8" borderId="27" xfId="0" applyFont="1" applyFill="1" applyBorder="1" applyAlignment="1">
      <alignment horizontal="left"/>
    </xf>
    <xf numFmtId="0" fontId="35" fillId="26" borderId="1" xfId="0" applyFont="1" applyFill="1" applyBorder="1"/>
    <xf numFmtId="0" fontId="35" fillId="26" borderId="1" xfId="0" applyFont="1" applyFill="1" applyBorder="1" applyAlignment="1">
      <alignment vertical="center"/>
    </xf>
    <xf numFmtId="0" fontId="36" fillId="26" borderId="1" xfId="0" applyFont="1" applyFill="1" applyBorder="1"/>
    <xf numFmtId="0" fontId="37" fillId="0" borderId="1" xfId="0" applyFont="1" applyBorder="1"/>
    <xf numFmtId="0" fontId="35" fillId="0" borderId="1" xfId="0" applyFont="1" applyBorder="1"/>
    <xf numFmtId="0" fontId="38" fillId="0" borderId="0" xfId="0" applyFont="1"/>
    <xf numFmtId="1" fontId="5" fillId="20" borderId="1" xfId="0" applyNumberFormat="1" applyFont="1" applyFill="1" applyBorder="1" applyAlignment="1">
      <alignment horizontal="center"/>
    </xf>
    <xf numFmtId="0" fontId="31" fillId="4" borderId="59" xfId="0" applyFont="1" applyFill="1" applyBorder="1" applyAlignment="1">
      <alignment horizontal="center" vertical="center"/>
    </xf>
    <xf numFmtId="0" fontId="38" fillId="4" borderId="0" xfId="0" applyFont="1" applyFill="1"/>
    <xf numFmtId="0" fontId="7" fillId="4" borderId="1" xfId="0" applyFont="1" applyFill="1" applyBorder="1"/>
    <xf numFmtId="1" fontId="7" fillId="4" borderId="1" xfId="0" applyNumberFormat="1" applyFont="1" applyFill="1" applyBorder="1" applyAlignment="1">
      <alignment horizontal="center" vertical="center"/>
    </xf>
    <xf numFmtId="0" fontId="0" fillId="4" borderId="0" xfId="0" applyFill="1"/>
    <xf numFmtId="0" fontId="7" fillId="4" borderId="24" xfId="0" applyFont="1" applyFill="1" applyBorder="1"/>
    <xf numFmtId="0" fontId="36" fillId="26" borderId="25" xfId="0" applyFont="1" applyFill="1" applyBorder="1"/>
    <xf numFmtId="0" fontId="36" fillId="26" borderId="26" xfId="0" applyFont="1" applyFill="1" applyBorder="1"/>
    <xf numFmtId="0" fontId="36" fillId="26" borderId="27" xfId="0" applyFont="1" applyFill="1" applyBorder="1"/>
    <xf numFmtId="2" fontId="39" fillId="4" borderId="1" xfId="0" applyNumberFormat="1" applyFont="1" applyFill="1" applyBorder="1" applyAlignment="1">
      <alignment horizontal="center"/>
    </xf>
    <xf numFmtId="2" fontId="40" fillId="4" borderId="1" xfId="0" applyNumberFormat="1" applyFont="1" applyFill="1" applyBorder="1" applyAlignment="1">
      <alignment horizontal="center"/>
    </xf>
    <xf numFmtId="0" fontId="37" fillId="4" borderId="1" xfId="0" applyFont="1" applyFill="1" applyBorder="1" applyAlignment="1">
      <alignment wrapText="1"/>
    </xf>
    <xf numFmtId="0" fontId="37" fillId="4" borderId="1" xfId="0" applyFont="1" applyFill="1" applyBorder="1" applyAlignment="1">
      <alignment horizontal="center"/>
    </xf>
    <xf numFmtId="0" fontId="35" fillId="27" borderId="1" xfId="0" applyFont="1" applyFill="1" applyBorder="1" applyAlignment="1">
      <alignment vertical="center"/>
    </xf>
    <xf numFmtId="1" fontId="37" fillId="4" borderId="1" xfId="0" applyNumberFormat="1" applyFont="1" applyFill="1" applyBorder="1" applyAlignment="1">
      <alignment horizontal="center"/>
    </xf>
    <xf numFmtId="0" fontId="37" fillId="4" borderId="1" xfId="0" applyFont="1" applyFill="1" applyBorder="1"/>
    <xf numFmtId="0" fontId="35" fillId="4" borderId="1" xfId="0" applyFont="1" applyFill="1" applyBorder="1"/>
    <xf numFmtId="0" fontId="35" fillId="4" borderId="1" xfId="0" applyFont="1" applyFill="1" applyBorder="1" applyAlignment="1">
      <alignment horizontal="center" vertical="center"/>
    </xf>
    <xf numFmtId="0" fontId="35" fillId="4" borderId="1" xfId="0" applyFont="1" applyFill="1" applyBorder="1" applyAlignment="1">
      <alignment horizontal="center"/>
    </xf>
    <xf numFmtId="0" fontId="7" fillId="8" borderId="1" xfId="0" applyFont="1" applyFill="1" applyBorder="1" applyAlignment="1">
      <alignment horizontal="center" vertical="center"/>
    </xf>
    <xf numFmtId="2" fontId="7" fillId="0" borderId="24" xfId="0" applyNumberFormat="1" applyFont="1" applyBorder="1" applyAlignment="1">
      <alignment horizontal="center" vertical="center"/>
    </xf>
    <xf numFmtId="1" fontId="7" fillId="24" borderId="1" xfId="0" applyNumberFormat="1" applyFont="1" applyFill="1" applyBorder="1" applyAlignment="1">
      <alignment horizontal="center" vertical="center"/>
    </xf>
    <xf numFmtId="0" fontId="26" fillId="4" borderId="0" xfId="0" applyFont="1" applyFill="1"/>
    <xf numFmtId="0" fontId="12" fillId="0" borderId="1" xfId="0" applyFont="1" applyBorder="1" applyAlignment="1">
      <alignment horizontal="center" vertical="center" wrapText="1"/>
    </xf>
    <xf numFmtId="0" fontId="12" fillId="0" borderId="1" xfId="0" applyFont="1" applyBorder="1" applyAlignment="1">
      <alignment horizontal="left" vertical="center"/>
    </xf>
    <xf numFmtId="0" fontId="41" fillId="28" borderId="12" xfId="0" applyFont="1" applyFill="1" applyBorder="1" applyAlignment="1">
      <alignment vertical="center"/>
    </xf>
    <xf numFmtId="0" fontId="41" fillId="28" borderId="9" xfId="0" applyFont="1" applyFill="1" applyBorder="1"/>
    <xf numFmtId="0" fontId="41" fillId="28" borderId="10" xfId="0" applyFont="1" applyFill="1" applyBorder="1"/>
    <xf numFmtId="0" fontId="42" fillId="28" borderId="60" xfId="0" applyFont="1" applyFill="1" applyBorder="1" applyAlignment="1">
      <alignment horizontal="left" vertical="center"/>
    </xf>
    <xf numFmtId="0" fontId="42" fillId="28" borderId="61" xfId="0" applyFont="1" applyFill="1" applyBorder="1" applyAlignment="1">
      <alignment horizontal="left"/>
    </xf>
    <xf numFmtId="0" fontId="42" fillId="28" borderId="18" xfId="0" applyFont="1" applyFill="1" applyBorder="1"/>
    <xf numFmtId="0" fontId="7" fillId="29" borderId="1" xfId="0" applyFont="1" applyFill="1" applyBorder="1"/>
    <xf numFmtId="44" fontId="44" fillId="29" borderId="1" xfId="6" applyFont="1" applyFill="1" applyBorder="1" applyAlignment="1">
      <alignment horizontal="center" vertical="center" wrapText="1"/>
    </xf>
    <xf numFmtId="44" fontId="42" fillId="30" borderId="1" xfId="6" applyFont="1" applyFill="1" applyBorder="1" applyAlignment="1">
      <alignment horizontal="center" vertical="center" wrapText="1"/>
    </xf>
    <xf numFmtId="0" fontId="7" fillId="25" borderId="1" xfId="0" applyFont="1" applyFill="1" applyBorder="1"/>
    <xf numFmtId="0" fontId="26" fillId="25" borderId="1" xfId="0" applyFont="1" applyFill="1" applyBorder="1"/>
    <xf numFmtId="0" fontId="7" fillId="29" borderId="13" xfId="0" applyFont="1" applyFill="1" applyBorder="1"/>
    <xf numFmtId="0" fontId="7" fillId="29" borderId="1" xfId="0" applyFont="1" applyFill="1" applyBorder="1" applyAlignment="1">
      <alignment horizontal="center" vertical="center"/>
    </xf>
    <xf numFmtId="1" fontId="7" fillId="29" borderId="1" xfId="0" applyNumberFormat="1" applyFont="1" applyFill="1" applyBorder="1" applyAlignment="1">
      <alignment horizontal="center" vertical="center"/>
    </xf>
    <xf numFmtId="0" fontId="7" fillId="29" borderId="24" xfId="0" applyFont="1" applyFill="1" applyBorder="1"/>
    <xf numFmtId="0" fontId="7" fillId="29" borderId="59" xfId="0" applyFont="1" applyFill="1" applyBorder="1" applyAlignment="1">
      <alignment horizontal="center" vertical="center"/>
    </xf>
    <xf numFmtId="1" fontId="7" fillId="29" borderId="59" xfId="0" applyNumberFormat="1" applyFont="1" applyFill="1" applyBorder="1" applyAlignment="1">
      <alignment horizontal="center" vertical="center"/>
    </xf>
    <xf numFmtId="0" fontId="16" fillId="0" borderId="7" xfId="0" applyFont="1" applyBorder="1" applyAlignment="1">
      <alignment vertical="center"/>
    </xf>
    <xf numFmtId="0" fontId="16" fillId="0" borderId="66" xfId="0" applyFont="1" applyBorder="1" applyAlignment="1">
      <alignment vertical="center"/>
    </xf>
    <xf numFmtId="0" fontId="16" fillId="0" borderId="66" xfId="0" applyFont="1" applyBorder="1" applyAlignment="1">
      <alignment horizontal="center" vertical="center"/>
    </xf>
    <xf numFmtId="1" fontId="16" fillId="0" borderId="66" xfId="0" applyNumberFormat="1" applyFont="1" applyBorder="1" applyAlignment="1">
      <alignment horizontal="center" vertical="center"/>
    </xf>
    <xf numFmtId="0" fontId="7" fillId="29" borderId="48" xfId="0" applyFont="1" applyFill="1" applyBorder="1"/>
    <xf numFmtId="0" fontId="7" fillId="5" borderId="1" xfId="0" applyFont="1" applyFill="1" applyBorder="1" applyAlignment="1">
      <alignment horizontal="right" vertical="center" wrapText="1"/>
    </xf>
    <xf numFmtId="0" fontId="7" fillId="0" borderId="1" xfId="0" applyFont="1" applyBorder="1" applyAlignment="1">
      <alignment horizontal="left" vertical="center"/>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12" fillId="0" borderId="25" xfId="0" applyFont="1" applyBorder="1" applyAlignment="1">
      <alignment horizontal="left" vertical="center" wrapText="1"/>
    </xf>
    <xf numFmtId="0" fontId="26" fillId="29" borderId="1" xfId="0" applyFont="1" applyFill="1" applyBorder="1"/>
    <xf numFmtId="0" fontId="7" fillId="31" borderId="1" xfId="0" applyFont="1" applyFill="1" applyBorder="1"/>
    <xf numFmtId="0" fontId="0" fillId="31" borderId="1" xfId="0" applyFill="1" applyBorder="1"/>
    <xf numFmtId="0" fontId="26" fillId="31" borderId="1" xfId="0" applyFont="1" applyFill="1" applyBorder="1"/>
    <xf numFmtId="0" fontId="10" fillId="4" borderId="0" xfId="0" applyFont="1" applyFill="1"/>
    <xf numFmtId="0" fontId="42" fillId="28" borderId="32" xfId="0" applyFont="1" applyFill="1" applyBorder="1"/>
    <xf numFmtId="0" fontId="7" fillId="31" borderId="25" xfId="0" applyFont="1" applyFill="1" applyBorder="1"/>
    <xf numFmtId="0" fontId="46" fillId="0" borderId="0" xfId="0" applyFont="1"/>
    <xf numFmtId="0" fontId="47" fillId="0" borderId="1" xfId="0" applyFont="1" applyBorder="1" applyAlignment="1">
      <alignment vertical="center" wrapText="1"/>
    </xf>
    <xf numFmtId="0" fontId="47" fillId="0" borderId="1" xfId="0" applyFont="1" applyBorder="1" applyAlignment="1">
      <alignment vertical="center"/>
    </xf>
    <xf numFmtId="0" fontId="47" fillId="0" borderId="1" xfId="0" applyFont="1" applyBorder="1" applyAlignment="1">
      <alignment horizontal="left"/>
    </xf>
    <xf numFmtId="0" fontId="47" fillId="0" borderId="1" xfId="0" applyFont="1" applyBorder="1"/>
    <xf numFmtId="0" fontId="46" fillId="0" borderId="0" xfId="0" applyFont="1" applyAlignment="1">
      <alignment horizontal="left"/>
    </xf>
    <xf numFmtId="0" fontId="45" fillId="0" borderId="1" xfId="0" applyFont="1" applyBorder="1" applyAlignment="1">
      <alignment horizontal="center" vertical="center"/>
    </xf>
    <xf numFmtId="0" fontId="47" fillId="0" borderId="1"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1" xfId="0" applyFont="1" applyBorder="1" applyAlignment="1">
      <alignment horizontal="left" vertical="center" wrapText="1"/>
    </xf>
    <xf numFmtId="0" fontId="47" fillId="0" borderId="1" xfId="0" applyFont="1" applyBorder="1" applyAlignment="1">
      <alignment horizontal="center" wrapText="1"/>
    </xf>
    <xf numFmtId="0" fontId="47" fillId="0" borderId="1" xfId="0" applyFont="1" applyBorder="1" applyAlignment="1">
      <alignment horizontal="center"/>
    </xf>
    <xf numFmtId="0" fontId="45" fillId="0" borderId="1" xfId="0" applyFont="1" applyBorder="1" applyAlignment="1">
      <alignment horizontal="left" vertical="center"/>
    </xf>
    <xf numFmtId="0" fontId="16" fillId="7" borderId="1"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4" xfId="0" applyFont="1" applyFill="1" applyBorder="1" applyAlignment="1">
      <alignment horizontal="center" vertical="center"/>
    </xf>
    <xf numFmtId="0" fontId="16" fillId="7" borderId="5" xfId="0" applyFont="1" applyFill="1" applyBorder="1" applyAlignment="1">
      <alignment horizontal="center" vertical="center"/>
    </xf>
    <xf numFmtId="0" fontId="7" fillId="16" borderId="69" xfId="0" applyFont="1" applyFill="1" applyBorder="1" applyAlignment="1">
      <alignment horizontal="center" vertical="center"/>
    </xf>
    <xf numFmtId="0" fontId="7" fillId="16" borderId="36" xfId="0" applyFont="1" applyFill="1" applyBorder="1" applyAlignment="1">
      <alignment horizontal="center" vertical="center"/>
    </xf>
    <xf numFmtId="0" fontId="7" fillId="16" borderId="70" xfId="0" applyFont="1" applyFill="1" applyBorder="1" applyAlignment="1">
      <alignment horizontal="center" vertical="center"/>
    </xf>
    <xf numFmtId="0" fontId="16" fillId="7" borderId="25" xfId="0" applyFont="1" applyFill="1" applyBorder="1" applyAlignment="1">
      <alignment horizontal="center" vertical="center"/>
    </xf>
    <xf numFmtId="0" fontId="16" fillId="7" borderId="27" xfId="0" applyFont="1" applyFill="1" applyBorder="1" applyAlignment="1">
      <alignment horizontal="center" vertical="center"/>
    </xf>
    <xf numFmtId="0" fontId="7" fillId="4" borderId="25" xfId="0" applyFont="1" applyFill="1" applyBorder="1"/>
    <xf numFmtId="0" fontId="7" fillId="4" borderId="27" xfId="0" applyFont="1" applyFill="1" applyBorder="1"/>
    <xf numFmtId="0" fontId="16" fillId="7" borderId="59" xfId="0" applyFont="1" applyFill="1" applyBorder="1" applyAlignment="1">
      <alignment horizontal="center" vertical="center" wrapText="1"/>
    </xf>
    <xf numFmtId="0" fontId="16" fillId="7" borderId="66" xfId="0" applyFont="1" applyFill="1" applyBorder="1" applyAlignment="1">
      <alignment horizontal="center" vertical="center" wrapText="1"/>
    </xf>
    <xf numFmtId="0" fontId="7" fillId="3" borderId="0" xfId="0" applyFont="1" applyFill="1"/>
    <xf numFmtId="0" fontId="12" fillId="19" borderId="39" xfId="0" applyFont="1" applyFill="1" applyBorder="1" applyAlignment="1">
      <alignment wrapText="1"/>
    </xf>
    <xf numFmtId="0" fontId="7" fillId="21" borderId="25" xfId="0" applyFont="1" applyFill="1" applyBorder="1"/>
    <xf numFmtId="0" fontId="7" fillId="21" borderId="27" xfId="0" applyFont="1" applyFill="1" applyBorder="1"/>
    <xf numFmtId="6" fontId="7" fillId="3" borderId="0" xfId="0" applyNumberFormat="1" applyFont="1" applyFill="1"/>
    <xf numFmtId="0" fontId="7" fillId="17" borderId="25" xfId="0" applyFont="1" applyFill="1" applyBorder="1"/>
    <xf numFmtId="0" fontId="7" fillId="17" borderId="27" xfId="0" applyFont="1" applyFill="1" applyBorder="1"/>
    <xf numFmtId="0" fontId="16" fillId="0" borderId="32" xfId="0" applyFont="1" applyBorder="1" applyAlignment="1">
      <alignment horizontal="center"/>
    </xf>
    <xf numFmtId="0" fontId="16" fillId="7" borderId="59" xfId="0" applyFont="1" applyFill="1" applyBorder="1" applyAlignment="1">
      <alignment horizontal="center" vertical="center"/>
    </xf>
    <xf numFmtId="0" fontId="16" fillId="7" borderId="66" xfId="0" applyFont="1" applyFill="1" applyBorder="1" applyAlignment="1">
      <alignment horizontal="center" vertical="center"/>
    </xf>
    <xf numFmtId="44" fontId="16" fillId="7" borderId="62" xfId="6" applyFont="1" applyFill="1" applyBorder="1" applyAlignment="1">
      <alignment horizontal="center" wrapText="1"/>
    </xf>
    <xf numFmtId="44" fontId="16" fillId="7" borderId="65" xfId="6" applyFont="1" applyFill="1" applyBorder="1" applyAlignment="1">
      <alignment horizontal="center" wrapText="1"/>
    </xf>
    <xf numFmtId="0" fontId="16" fillId="8" borderId="1" xfId="0" applyFont="1" applyFill="1" applyBorder="1" applyAlignment="1">
      <alignment horizontal="left"/>
    </xf>
    <xf numFmtId="0" fontId="16" fillId="16" borderId="51" xfId="0" applyFont="1" applyFill="1" applyBorder="1" applyAlignment="1">
      <alignment horizontal="center"/>
    </xf>
    <xf numFmtId="0" fontId="16" fillId="22" borderId="52" xfId="0" applyFont="1" applyFill="1" applyBorder="1"/>
    <xf numFmtId="0" fontId="16" fillId="22" borderId="53" xfId="0" applyFont="1" applyFill="1" applyBorder="1"/>
    <xf numFmtId="0" fontId="16" fillId="22" borderId="54" xfId="0" applyFont="1" applyFill="1" applyBorder="1"/>
    <xf numFmtId="0" fontId="16" fillId="21" borderId="52" xfId="0" applyFont="1" applyFill="1" applyBorder="1"/>
    <xf numFmtId="0" fontId="16" fillId="21" borderId="53" xfId="0" applyFont="1" applyFill="1" applyBorder="1"/>
    <xf numFmtId="0" fontId="16" fillId="21" borderId="54" xfId="0" applyFont="1" applyFill="1" applyBorder="1"/>
    <xf numFmtId="0" fontId="16" fillId="17" borderId="25" xfId="0" applyFont="1" applyFill="1" applyBorder="1"/>
    <xf numFmtId="0" fontId="16" fillId="17" borderId="26" xfId="0" applyFont="1" applyFill="1" applyBorder="1"/>
    <xf numFmtId="0" fontId="16" fillId="17" borderId="27" xfId="0" applyFont="1" applyFill="1" applyBorder="1"/>
    <xf numFmtId="0" fontId="12" fillId="21" borderId="25" xfId="0" applyFont="1" applyFill="1" applyBorder="1" applyAlignment="1">
      <alignment horizontal="center"/>
    </xf>
    <xf numFmtId="0" fontId="12" fillId="21" borderId="26" xfId="0" applyFont="1" applyFill="1" applyBorder="1" applyAlignment="1">
      <alignment horizontal="center"/>
    </xf>
    <xf numFmtId="0" fontId="12" fillId="21" borderId="27" xfId="0" applyFont="1" applyFill="1" applyBorder="1" applyAlignment="1">
      <alignment horizontal="center"/>
    </xf>
    <xf numFmtId="43" fontId="16" fillId="17" borderId="25" xfId="1" applyFont="1" applyFill="1" applyBorder="1"/>
    <xf numFmtId="43" fontId="16" fillId="17" borderId="26" xfId="1" applyFont="1" applyFill="1" applyBorder="1"/>
    <xf numFmtId="43" fontId="16" fillId="17" borderId="27" xfId="1" applyFont="1" applyFill="1" applyBorder="1"/>
    <xf numFmtId="0" fontId="16" fillId="16" borderId="25" xfId="0" applyFont="1" applyFill="1" applyBorder="1"/>
    <xf numFmtId="0" fontId="16" fillId="16" borderId="26" xfId="0" applyFont="1" applyFill="1" applyBorder="1"/>
    <xf numFmtId="0" fontId="16" fillId="16" borderId="27" xfId="0" applyFont="1" applyFill="1" applyBorder="1"/>
    <xf numFmtId="0" fontId="7" fillId="23" borderId="25" xfId="0" applyFont="1" applyFill="1" applyBorder="1"/>
    <xf numFmtId="0" fontId="7" fillId="23" borderId="26" xfId="0" applyFont="1" applyFill="1" applyBorder="1"/>
    <xf numFmtId="0" fontId="7" fillId="23" borderId="27" xfId="0" applyFont="1" applyFill="1" applyBorder="1"/>
    <xf numFmtId="0" fontId="7" fillId="24" borderId="25" xfId="0" applyFont="1" applyFill="1" applyBorder="1"/>
    <xf numFmtId="0" fontId="7" fillId="24" borderId="26" xfId="0" applyFont="1" applyFill="1" applyBorder="1"/>
    <xf numFmtId="0" fontId="7" fillId="24" borderId="27" xfId="0" applyFont="1" applyFill="1" applyBorder="1"/>
    <xf numFmtId="0" fontId="16" fillId="15" borderId="25" xfId="0" applyFont="1" applyFill="1" applyBorder="1" applyAlignment="1">
      <alignment horizontal="center"/>
    </xf>
    <xf numFmtId="0" fontId="16" fillId="15" borderId="26" xfId="0" applyFont="1" applyFill="1" applyBorder="1" applyAlignment="1">
      <alignment horizontal="center"/>
    </xf>
    <xf numFmtId="0" fontId="16" fillId="15" borderId="27" xfId="0" applyFont="1" applyFill="1" applyBorder="1" applyAlignment="1">
      <alignment horizontal="center"/>
    </xf>
    <xf numFmtId="0" fontId="29" fillId="15" borderId="25" xfId="0" applyFont="1" applyFill="1" applyBorder="1" applyAlignment="1">
      <alignment horizontal="center"/>
    </xf>
    <xf numFmtId="0" fontId="29" fillId="15" borderId="26" xfId="0" applyFont="1" applyFill="1" applyBorder="1" applyAlignment="1">
      <alignment horizontal="center"/>
    </xf>
    <xf numFmtId="0" fontId="29" fillId="15" borderId="27" xfId="0" applyFont="1" applyFill="1" applyBorder="1" applyAlignment="1">
      <alignment horizontal="center"/>
    </xf>
    <xf numFmtId="43" fontId="16" fillId="15" borderId="20" xfId="1" applyFont="1" applyFill="1" applyBorder="1" applyAlignment="1">
      <alignment horizontal="center" vertical="center"/>
    </xf>
    <xf numFmtId="43" fontId="16" fillId="15" borderId="22" xfId="1" applyFont="1" applyFill="1" applyBorder="1" applyAlignment="1">
      <alignment horizontal="center" vertical="center"/>
    </xf>
    <xf numFmtId="0" fontId="7" fillId="15" borderId="56" xfId="0" applyFont="1" applyFill="1" applyBorder="1" applyAlignment="1">
      <alignment horizontal="center" vertical="center"/>
    </xf>
    <xf numFmtId="0" fontId="7" fillId="15" borderId="24" xfId="0" applyFont="1" applyFill="1" applyBorder="1" applyAlignment="1">
      <alignment horizontal="center" vertical="center"/>
    </xf>
    <xf numFmtId="43" fontId="7" fillId="15" borderId="63" xfId="0" applyNumberFormat="1" applyFont="1" applyFill="1" applyBorder="1" applyAlignment="1">
      <alignment horizontal="center" vertical="center"/>
    </xf>
    <xf numFmtId="43" fontId="7" fillId="15" borderId="64" xfId="0" applyNumberFormat="1" applyFont="1" applyFill="1" applyBorder="1" applyAlignment="1">
      <alignment horizontal="center" vertical="center"/>
    </xf>
    <xf numFmtId="0" fontId="7" fillId="16" borderId="25" xfId="0" applyFont="1" applyFill="1" applyBorder="1"/>
    <xf numFmtId="0" fontId="7" fillId="16" borderId="27" xfId="0" applyFont="1" applyFill="1" applyBorder="1"/>
    <xf numFmtId="0" fontId="12" fillId="19" borderId="39" xfId="0" applyFont="1" applyFill="1" applyBorder="1" applyAlignment="1">
      <alignment vertical="center"/>
    </xf>
    <xf numFmtId="0" fontId="16" fillId="19" borderId="39" xfId="0" applyFont="1" applyFill="1" applyBorder="1"/>
    <xf numFmtId="0" fontId="7" fillId="16" borderId="1" xfId="0" applyFont="1" applyFill="1" applyBorder="1"/>
    <xf numFmtId="0" fontId="7" fillId="22" borderId="1" xfId="0" applyFont="1" applyFill="1" applyBorder="1"/>
    <xf numFmtId="0" fontId="5" fillId="20" borderId="31" xfId="0" applyFont="1" applyFill="1" applyBorder="1" applyAlignment="1">
      <alignment horizontal="center" vertical="center"/>
    </xf>
    <xf numFmtId="0" fontId="5" fillId="20" borderId="23" xfId="0" applyFont="1" applyFill="1" applyBorder="1" applyAlignment="1">
      <alignment horizontal="center" vertical="center"/>
    </xf>
    <xf numFmtId="0" fontId="5" fillId="20" borderId="54" xfId="0" applyFont="1" applyFill="1" applyBorder="1" applyAlignment="1">
      <alignment horizontal="center" vertical="center"/>
    </xf>
    <xf numFmtId="0" fontId="5" fillId="4" borderId="50" xfId="0" applyFont="1" applyFill="1" applyBorder="1" applyAlignment="1">
      <alignment horizontal="center" vertical="center"/>
    </xf>
    <xf numFmtId="0" fontId="5" fillId="4" borderId="55" xfId="0" applyFont="1" applyFill="1" applyBorder="1" applyAlignment="1">
      <alignment horizontal="center" vertical="center"/>
    </xf>
    <xf numFmtId="0" fontId="5" fillId="4" borderId="52" xfId="0" applyFont="1" applyFill="1" applyBorder="1" applyAlignment="1">
      <alignment horizontal="center" vertical="center"/>
    </xf>
    <xf numFmtId="0" fontId="7" fillId="0" borderId="13" xfId="0" applyFont="1" applyBorder="1" applyAlignment="1">
      <alignment horizontal="center" vertical="center"/>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16" fillId="3" borderId="12" xfId="0" applyFont="1" applyFill="1" applyBorder="1" applyAlignment="1">
      <alignment horizontal="left"/>
    </xf>
    <xf numFmtId="0" fontId="16" fillId="3" borderId="9" xfId="0" applyFont="1" applyFill="1" applyBorder="1" applyAlignment="1">
      <alignment horizontal="left"/>
    </xf>
    <xf numFmtId="0" fontId="16" fillId="3" borderId="10" xfId="0" applyFont="1" applyFill="1" applyBorder="1" applyAlignment="1">
      <alignment horizontal="left"/>
    </xf>
    <xf numFmtId="0" fontId="16" fillId="4" borderId="25"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2" fillId="0" borderId="25"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1" xfId="0" applyFont="1" applyBorder="1" applyAlignment="1">
      <alignment horizontal="center" vertical="center" wrapText="1"/>
    </xf>
    <xf numFmtId="0" fontId="18" fillId="3" borderId="25" xfId="0" applyFont="1" applyFill="1" applyBorder="1" applyAlignment="1">
      <alignment horizontal="center" vertical="center"/>
    </xf>
    <xf numFmtId="0" fontId="18" fillId="3" borderId="26" xfId="0" applyFont="1" applyFill="1" applyBorder="1" applyAlignment="1">
      <alignment horizontal="center" vertical="center"/>
    </xf>
    <xf numFmtId="0" fontId="18" fillId="3" borderId="27" xfId="0" applyFont="1" applyFill="1" applyBorder="1" applyAlignment="1">
      <alignment horizontal="center" vertical="center"/>
    </xf>
    <xf numFmtId="0" fontId="12" fillId="6" borderId="20" xfId="0" applyFont="1" applyFill="1" applyBorder="1" applyAlignment="1">
      <alignment horizontal="center" vertical="center"/>
    </xf>
    <xf numFmtId="0" fontId="12" fillId="6" borderId="21" xfId="0" applyFont="1" applyFill="1" applyBorder="1" applyAlignment="1">
      <alignment horizontal="center" vertical="center"/>
    </xf>
    <xf numFmtId="0" fontId="12" fillId="6" borderId="22" xfId="0" applyFont="1" applyFill="1" applyBorder="1" applyAlignment="1">
      <alignment horizontal="center" vertical="center"/>
    </xf>
    <xf numFmtId="0" fontId="18" fillId="3" borderId="12" xfId="0" applyFont="1" applyFill="1" applyBorder="1" applyAlignment="1">
      <alignment horizontal="left"/>
    </xf>
    <xf numFmtId="0" fontId="18" fillId="3" borderId="9" xfId="0" applyFont="1" applyFill="1" applyBorder="1" applyAlignment="1">
      <alignment horizontal="left"/>
    </xf>
    <xf numFmtId="0" fontId="18" fillId="3" borderId="10" xfId="0" applyFont="1" applyFill="1" applyBorder="1" applyAlignment="1">
      <alignment horizontal="left"/>
    </xf>
    <xf numFmtId="0" fontId="20" fillId="6" borderId="20" xfId="0" applyFont="1" applyFill="1" applyBorder="1" applyAlignment="1">
      <alignment horizontal="center" vertical="center"/>
    </xf>
    <xf numFmtId="0" fontId="20" fillId="6" borderId="21" xfId="0" applyFont="1" applyFill="1" applyBorder="1" applyAlignment="1">
      <alignment horizontal="center" vertical="center"/>
    </xf>
    <xf numFmtId="0" fontId="20" fillId="6" borderId="22" xfId="0" applyFont="1" applyFill="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43" xfId="0" applyFont="1" applyBorder="1" applyAlignment="1">
      <alignment horizontal="center" vertical="center"/>
    </xf>
    <xf numFmtId="0" fontId="7" fillId="0" borderId="26" xfId="0" applyFont="1" applyBorder="1" applyAlignment="1">
      <alignment horizontal="center" vertical="center"/>
    </xf>
    <xf numFmtId="0" fontId="7" fillId="0" borderId="44"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0" borderId="8" xfId="0" applyFont="1" applyBorder="1" applyAlignment="1">
      <alignment horizontal="center" vertical="center"/>
    </xf>
    <xf numFmtId="0" fontId="18" fillId="3" borderId="45" xfId="0" applyFont="1" applyFill="1" applyBorder="1" applyAlignment="1">
      <alignment horizontal="left"/>
    </xf>
    <xf numFmtId="0" fontId="18" fillId="3" borderId="46" xfId="0" applyFont="1" applyFill="1" applyBorder="1" applyAlignment="1">
      <alignment horizontal="left"/>
    </xf>
    <xf numFmtId="0" fontId="18" fillId="3" borderId="47" xfId="0" applyFont="1" applyFill="1" applyBorder="1" applyAlignment="1">
      <alignment horizontal="left"/>
    </xf>
    <xf numFmtId="0" fontId="9" fillId="0" borderId="43" xfId="0" applyFont="1" applyBorder="1" applyAlignment="1">
      <alignment horizontal="center" vertical="center"/>
    </xf>
    <xf numFmtId="0" fontId="9" fillId="0" borderId="26" xfId="0" applyFont="1" applyBorder="1" applyAlignment="1">
      <alignment horizontal="center" vertical="center"/>
    </xf>
    <xf numFmtId="0" fontId="9" fillId="0" borderId="44" xfId="0" applyFont="1" applyBorder="1" applyAlignment="1">
      <alignment horizontal="center" vertical="center"/>
    </xf>
    <xf numFmtId="0" fontId="9" fillId="0" borderId="38" xfId="0" applyFont="1" applyBorder="1" applyAlignment="1">
      <alignment horizontal="center" vertical="center"/>
    </xf>
    <xf numFmtId="0" fontId="9"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8"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23" fillId="3" borderId="12" xfId="0" applyFont="1" applyFill="1" applyBorder="1" applyAlignment="1">
      <alignment horizontal="left"/>
    </xf>
    <xf numFmtId="0" fontId="23" fillId="3" borderId="9" xfId="0" applyFont="1" applyFill="1" applyBorder="1" applyAlignment="1">
      <alignment horizontal="left"/>
    </xf>
    <xf numFmtId="0" fontId="23" fillId="3" borderId="10" xfId="0" applyFont="1" applyFill="1" applyBorder="1" applyAlignment="1">
      <alignment horizontal="left"/>
    </xf>
    <xf numFmtId="0" fontId="12" fillId="4" borderId="25" xfId="0" applyFont="1" applyFill="1" applyBorder="1" applyAlignment="1">
      <alignment horizontal="center" vertical="center" wrapText="1"/>
    </xf>
    <xf numFmtId="0" fontId="12" fillId="4" borderId="2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7" fillId="5" borderId="25" xfId="0" applyFont="1" applyFill="1" applyBorder="1" applyAlignment="1">
      <alignment horizontal="center" vertical="center" wrapText="1"/>
    </xf>
    <xf numFmtId="0" fontId="7" fillId="5" borderId="27" xfId="0" applyFont="1" applyFill="1" applyBorder="1" applyAlignment="1">
      <alignment horizontal="center" vertical="center" wrapText="1"/>
    </xf>
    <xf numFmtId="0" fontId="7" fillId="5" borderId="50" xfId="0" applyFont="1" applyFill="1" applyBorder="1" applyAlignment="1">
      <alignment horizontal="center" vertical="center" wrapText="1"/>
    </xf>
    <xf numFmtId="0" fontId="7" fillId="5" borderId="31" xfId="0" applyFont="1" applyFill="1" applyBorder="1" applyAlignment="1">
      <alignment horizontal="center" vertical="center" wrapText="1"/>
    </xf>
    <xf numFmtId="0" fontId="7" fillId="5" borderId="52" xfId="0" applyFont="1" applyFill="1" applyBorder="1" applyAlignment="1">
      <alignment horizontal="center" vertical="center" wrapText="1"/>
    </xf>
    <xf numFmtId="0" fontId="7" fillId="5" borderId="54" xfId="0" applyFont="1" applyFill="1" applyBorder="1" applyAlignment="1">
      <alignment horizontal="center" vertical="center" wrapText="1"/>
    </xf>
    <xf numFmtId="0" fontId="42" fillId="30" borderId="1" xfId="0" applyFont="1" applyFill="1" applyBorder="1" applyAlignment="1">
      <alignment horizontal="center" vertical="center" wrapText="1"/>
    </xf>
    <xf numFmtId="0" fontId="43" fillId="28" borderId="12" xfId="0" applyFont="1" applyFill="1" applyBorder="1" applyAlignment="1">
      <alignment horizontal="left" wrapText="1"/>
    </xf>
    <xf numFmtId="0" fontId="43" fillId="28" borderId="10" xfId="0" applyFont="1" applyFill="1" applyBorder="1" applyAlignment="1">
      <alignment horizontal="left" wrapText="1"/>
    </xf>
    <xf numFmtId="0" fontId="43" fillId="28" borderId="12" xfId="0" applyFont="1" applyFill="1" applyBorder="1" applyAlignment="1">
      <alignment horizontal="left"/>
    </xf>
    <xf numFmtId="0" fontId="43" fillId="28" borderId="10" xfId="0" applyFont="1" applyFill="1" applyBorder="1" applyAlignment="1">
      <alignment horizontal="left"/>
    </xf>
    <xf numFmtId="0" fontId="43" fillId="28" borderId="67" xfId="0" applyFont="1" applyFill="1" applyBorder="1" applyAlignment="1">
      <alignment horizontal="left"/>
    </xf>
    <xf numFmtId="0" fontId="43" fillId="28" borderId="68" xfId="0" applyFont="1" applyFill="1" applyBorder="1" applyAlignment="1">
      <alignment horizontal="left"/>
    </xf>
    <xf numFmtId="0" fontId="43" fillId="28" borderId="1" xfId="0" applyFont="1" applyFill="1" applyBorder="1" applyAlignment="1">
      <alignment horizontal="left"/>
    </xf>
    <xf numFmtId="0" fontId="12" fillId="15" borderId="25" xfId="0" applyFont="1" applyFill="1" applyBorder="1" applyAlignment="1">
      <alignment horizontal="center" vertical="center"/>
    </xf>
    <xf numFmtId="0" fontId="12" fillId="15" borderId="26" xfId="0" applyFont="1" applyFill="1" applyBorder="1" applyAlignment="1">
      <alignment horizontal="center" vertical="center"/>
    </xf>
    <xf numFmtId="0" fontId="12" fillId="15" borderId="27" xfId="0" applyFont="1" applyFill="1" applyBorder="1" applyAlignment="1">
      <alignment horizontal="center" vertical="center"/>
    </xf>
  </cellXfs>
  <cellStyles count="7">
    <cellStyle name="Comma" xfId="1" builtinId="3"/>
    <cellStyle name="Comma 2 2" xfId="3" xr:uid="{4F4DD39D-85D4-4705-A1EE-2CA09811433F}"/>
    <cellStyle name="Comma 3" xfId="2" xr:uid="{DB5DBE8E-C40C-4499-9B86-8936398D348B}"/>
    <cellStyle name="Comma 6" xfId="5" xr:uid="{A566200C-546F-447B-B8E2-D4600A26B84B}"/>
    <cellStyle name="Currency" xfId="6" builtinId="4"/>
    <cellStyle name="Normal" xfId="0" builtinId="0"/>
    <cellStyle name="Normal 2" xfId="4" xr:uid="{CC854DA8-3980-4D9C-947F-24257F7C5F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298450</xdr:colOff>
      <xdr:row>0</xdr:row>
      <xdr:rowOff>114300</xdr:rowOff>
    </xdr:from>
    <xdr:ext cx="1416050" cy="365075"/>
    <xdr:pic>
      <xdr:nvPicPr>
        <xdr:cNvPr id="5" name="Picture 4">
          <a:extLst>
            <a:ext uri="{FF2B5EF4-FFF2-40B4-BE49-F238E27FC236}">
              <a16:creationId xmlns:a16="http://schemas.microsoft.com/office/drawing/2014/main" id="{6B3A6FE8-0697-4D8E-B432-25402B98B9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302250" y="114300"/>
          <a:ext cx="1416050" cy="36507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3292475</xdr:colOff>
      <xdr:row>0</xdr:row>
      <xdr:rowOff>158750</xdr:rowOff>
    </xdr:from>
    <xdr:to>
      <xdr:col>2</xdr:col>
      <xdr:colOff>1487166</xdr:colOff>
      <xdr:row>1</xdr:row>
      <xdr:rowOff>498475</xdr:rowOff>
    </xdr:to>
    <xdr:pic>
      <xdr:nvPicPr>
        <xdr:cNvPr id="2" name="Picture 1">
          <a:extLst>
            <a:ext uri="{FF2B5EF4-FFF2-40B4-BE49-F238E27FC236}">
              <a16:creationId xmlns:a16="http://schemas.microsoft.com/office/drawing/2014/main" id="{56389506-574D-49C4-874B-BDA7CD270205}"/>
            </a:ext>
          </a:extLst>
        </xdr:cNvPr>
        <xdr:cNvPicPr>
          <a:picLocks noChangeAspect="1"/>
        </xdr:cNvPicPr>
      </xdr:nvPicPr>
      <xdr:blipFill>
        <a:blip xmlns:r="http://schemas.openxmlformats.org/officeDocument/2006/relationships" r:embed="rId1"/>
        <a:stretch>
          <a:fillRect/>
        </a:stretch>
      </xdr:blipFill>
      <xdr:spPr>
        <a:xfrm>
          <a:off x="4067175" y="158750"/>
          <a:ext cx="1610991" cy="5302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3</xdr:col>
      <xdr:colOff>552450</xdr:colOff>
      <xdr:row>0</xdr:row>
      <xdr:rowOff>165101</xdr:rowOff>
    </xdr:from>
    <xdr:ext cx="1435100" cy="369986"/>
    <xdr:pic>
      <xdr:nvPicPr>
        <xdr:cNvPr id="3" name="Picture 2">
          <a:extLst>
            <a:ext uri="{FF2B5EF4-FFF2-40B4-BE49-F238E27FC236}">
              <a16:creationId xmlns:a16="http://schemas.microsoft.com/office/drawing/2014/main" id="{D614967E-7583-4588-8315-0D1FEC79BF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464050" y="165101"/>
          <a:ext cx="1435100" cy="369986"/>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4</xdr:col>
      <xdr:colOff>355600</xdr:colOff>
      <xdr:row>1</xdr:row>
      <xdr:rowOff>6351</xdr:rowOff>
    </xdr:from>
    <xdr:ext cx="1435100" cy="369986"/>
    <xdr:pic>
      <xdr:nvPicPr>
        <xdr:cNvPr id="3" name="Picture 2">
          <a:extLst>
            <a:ext uri="{FF2B5EF4-FFF2-40B4-BE49-F238E27FC236}">
              <a16:creationId xmlns:a16="http://schemas.microsoft.com/office/drawing/2014/main" id="{D7E492BE-B767-427C-86DA-322D244A3C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660900" y="196851"/>
          <a:ext cx="1435100" cy="369986"/>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4</xdr:col>
      <xdr:colOff>228600</xdr:colOff>
      <xdr:row>1</xdr:row>
      <xdr:rowOff>0</xdr:rowOff>
    </xdr:from>
    <xdr:ext cx="1416050" cy="365075"/>
    <xdr:pic>
      <xdr:nvPicPr>
        <xdr:cNvPr id="2" name="Picture 1">
          <a:extLst>
            <a:ext uri="{FF2B5EF4-FFF2-40B4-BE49-F238E27FC236}">
              <a16:creationId xmlns:a16="http://schemas.microsoft.com/office/drawing/2014/main" id="{485D91CF-A353-44E0-93EC-851E9EFC80B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41900" y="190500"/>
          <a:ext cx="1416050" cy="36507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4</xdr:col>
      <xdr:colOff>488950</xdr:colOff>
      <xdr:row>0</xdr:row>
      <xdr:rowOff>1</xdr:rowOff>
    </xdr:from>
    <xdr:ext cx="1435100" cy="369986"/>
    <xdr:pic>
      <xdr:nvPicPr>
        <xdr:cNvPr id="3" name="Picture 2">
          <a:extLst>
            <a:ext uri="{FF2B5EF4-FFF2-40B4-BE49-F238E27FC236}">
              <a16:creationId xmlns:a16="http://schemas.microsoft.com/office/drawing/2014/main" id="{E20B801A-F61D-4C09-8E0D-B395DD25F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37100" y="1"/>
          <a:ext cx="1435100" cy="369986"/>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4</xdr:col>
      <xdr:colOff>177800</xdr:colOff>
      <xdr:row>1</xdr:row>
      <xdr:rowOff>0</xdr:rowOff>
    </xdr:from>
    <xdr:ext cx="1416050" cy="365075"/>
    <xdr:pic>
      <xdr:nvPicPr>
        <xdr:cNvPr id="2" name="Picture 1">
          <a:extLst>
            <a:ext uri="{FF2B5EF4-FFF2-40B4-BE49-F238E27FC236}">
              <a16:creationId xmlns:a16="http://schemas.microsoft.com/office/drawing/2014/main" id="{3B543A5F-56F3-4ABC-A97F-DE819AB2C2E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679950" y="190500"/>
          <a:ext cx="1416050" cy="365075"/>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4</xdr:col>
      <xdr:colOff>247650</xdr:colOff>
      <xdr:row>1</xdr:row>
      <xdr:rowOff>6350</xdr:rowOff>
    </xdr:from>
    <xdr:ext cx="1416050" cy="365075"/>
    <xdr:pic>
      <xdr:nvPicPr>
        <xdr:cNvPr id="2" name="Picture 1">
          <a:extLst>
            <a:ext uri="{FF2B5EF4-FFF2-40B4-BE49-F238E27FC236}">
              <a16:creationId xmlns:a16="http://schemas.microsoft.com/office/drawing/2014/main" id="{14FAB8A9-E501-45B9-B4F1-8DBB33F939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29200" y="196850"/>
          <a:ext cx="1416050" cy="365075"/>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127000</xdr:colOff>
      <xdr:row>0</xdr:row>
      <xdr:rowOff>158751</xdr:rowOff>
    </xdr:from>
    <xdr:ext cx="1435100" cy="369986"/>
    <xdr:pic>
      <xdr:nvPicPr>
        <xdr:cNvPr id="6" name="Picture 5">
          <a:extLst>
            <a:ext uri="{FF2B5EF4-FFF2-40B4-BE49-F238E27FC236}">
              <a16:creationId xmlns:a16="http://schemas.microsoft.com/office/drawing/2014/main" id="{1ADD9217-18AC-4E6F-865E-B9ED403BA6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16500" y="158751"/>
          <a:ext cx="1435100" cy="369986"/>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4</xdr:col>
      <xdr:colOff>127000</xdr:colOff>
      <xdr:row>0</xdr:row>
      <xdr:rowOff>158750</xdr:rowOff>
    </xdr:from>
    <xdr:ext cx="1416050" cy="365075"/>
    <xdr:pic>
      <xdr:nvPicPr>
        <xdr:cNvPr id="2" name="Picture 1">
          <a:extLst>
            <a:ext uri="{FF2B5EF4-FFF2-40B4-BE49-F238E27FC236}">
              <a16:creationId xmlns:a16="http://schemas.microsoft.com/office/drawing/2014/main" id="{C5D2E5CC-00F7-46CE-8CB6-224C377AED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597400" y="158750"/>
          <a:ext cx="1416050" cy="365075"/>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4</xdr:col>
      <xdr:colOff>203200</xdr:colOff>
      <xdr:row>0</xdr:row>
      <xdr:rowOff>133350</xdr:rowOff>
    </xdr:from>
    <xdr:ext cx="1416050" cy="365075"/>
    <xdr:pic>
      <xdr:nvPicPr>
        <xdr:cNvPr id="2" name="Picture 1">
          <a:extLst>
            <a:ext uri="{FF2B5EF4-FFF2-40B4-BE49-F238E27FC236}">
              <a16:creationId xmlns:a16="http://schemas.microsoft.com/office/drawing/2014/main" id="{98908175-7AC9-4C91-A68E-0037A062F0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416550" y="133350"/>
          <a:ext cx="1416050" cy="36507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4</xdr:col>
      <xdr:colOff>508000</xdr:colOff>
      <xdr:row>0</xdr:row>
      <xdr:rowOff>0</xdr:rowOff>
    </xdr:from>
    <xdr:ext cx="1416050" cy="365075"/>
    <xdr:pic>
      <xdr:nvPicPr>
        <xdr:cNvPr id="2" name="Picture 1">
          <a:extLst>
            <a:ext uri="{FF2B5EF4-FFF2-40B4-BE49-F238E27FC236}">
              <a16:creationId xmlns:a16="http://schemas.microsoft.com/office/drawing/2014/main" id="{E65CD886-E657-443D-BAC6-6D8441627A3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4756150" y="0"/>
          <a:ext cx="1416050" cy="365075"/>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127000</xdr:colOff>
      <xdr:row>0</xdr:row>
      <xdr:rowOff>158751</xdr:rowOff>
    </xdr:from>
    <xdr:ext cx="1435100" cy="369986"/>
    <xdr:pic>
      <xdr:nvPicPr>
        <xdr:cNvPr id="3" name="Picture 2">
          <a:extLst>
            <a:ext uri="{FF2B5EF4-FFF2-40B4-BE49-F238E27FC236}">
              <a16:creationId xmlns:a16="http://schemas.microsoft.com/office/drawing/2014/main" id="{C3EF48A9-5840-46F6-B92D-A2C9F82913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16500" y="158751"/>
          <a:ext cx="1435100" cy="369986"/>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A0951-D4F6-4C37-B270-32F2B5D3853C}">
  <dimension ref="A1:C88"/>
  <sheetViews>
    <sheetView workbookViewId="0">
      <selection activeCell="C9" sqref="C9"/>
    </sheetView>
  </sheetViews>
  <sheetFormatPr defaultColWidth="8.7109375" defaultRowHeight="15" x14ac:dyDescent="0.25"/>
  <cols>
    <col min="1" max="1" width="8.7109375" style="404"/>
    <col min="2" max="2" width="18.140625" style="404" customWidth="1"/>
    <col min="3" max="3" width="95.85546875" style="399" customWidth="1"/>
    <col min="4" max="16384" width="8.7109375" style="399"/>
  </cols>
  <sheetData>
    <row r="1" spans="1:3" x14ac:dyDescent="0.25">
      <c r="A1" s="405" t="s">
        <v>410</v>
      </c>
      <c r="B1" s="405"/>
      <c r="C1" s="405"/>
    </row>
    <row r="2" spans="1:3" x14ac:dyDescent="0.25">
      <c r="A2" s="405"/>
      <c r="B2" s="405"/>
      <c r="C2" s="405"/>
    </row>
    <row r="3" spans="1:3" x14ac:dyDescent="0.25">
      <c r="A3" s="406" t="s">
        <v>411</v>
      </c>
      <c r="B3" s="406"/>
      <c r="C3" s="406"/>
    </row>
    <row r="4" spans="1:3" x14ac:dyDescent="0.25">
      <c r="A4" s="407" t="s">
        <v>412</v>
      </c>
      <c r="B4" s="407"/>
      <c r="C4" s="407" t="s">
        <v>413</v>
      </c>
    </row>
    <row r="5" spans="1:3" x14ac:dyDescent="0.25">
      <c r="A5" s="407"/>
      <c r="B5" s="407"/>
      <c r="C5" s="407"/>
    </row>
    <row r="6" spans="1:3" ht="45" x14ac:dyDescent="0.25">
      <c r="A6" s="408" t="s">
        <v>501</v>
      </c>
      <c r="B6" s="408"/>
      <c r="C6" s="400" t="s">
        <v>502</v>
      </c>
    </row>
    <row r="7" spans="1:3" ht="30" x14ac:dyDescent="0.25">
      <c r="A7" s="408"/>
      <c r="B7" s="408"/>
      <c r="C7" s="400" t="s">
        <v>503</v>
      </c>
    </row>
    <row r="8" spans="1:3" ht="30" x14ac:dyDescent="0.25">
      <c r="A8" s="408"/>
      <c r="B8" s="408"/>
      <c r="C8" s="400" t="s">
        <v>504</v>
      </c>
    </row>
    <row r="9" spans="1:3" ht="45" x14ac:dyDescent="0.25">
      <c r="A9" s="408"/>
      <c r="B9" s="408"/>
      <c r="C9" s="400" t="s">
        <v>505</v>
      </c>
    </row>
    <row r="10" spans="1:3" ht="60" x14ac:dyDescent="0.25">
      <c r="A10" s="408"/>
      <c r="B10" s="408"/>
      <c r="C10" s="400" t="s">
        <v>506</v>
      </c>
    </row>
    <row r="11" spans="1:3" ht="45" x14ac:dyDescent="0.25">
      <c r="A11" s="408"/>
      <c r="B11" s="408"/>
      <c r="C11" s="400" t="s">
        <v>507</v>
      </c>
    </row>
    <row r="12" spans="1:3" ht="30" x14ac:dyDescent="0.25">
      <c r="A12" s="408"/>
      <c r="B12" s="408"/>
      <c r="C12" s="400" t="s">
        <v>508</v>
      </c>
    </row>
    <row r="13" spans="1:3" ht="45" x14ac:dyDescent="0.25">
      <c r="A13" s="408"/>
      <c r="B13" s="408"/>
      <c r="C13" s="400" t="s">
        <v>509</v>
      </c>
    </row>
    <row r="14" spans="1:3" x14ac:dyDescent="0.25">
      <c r="A14" s="406"/>
      <c r="B14" s="406"/>
      <c r="C14" s="406"/>
    </row>
    <row r="15" spans="1:3" ht="45" x14ac:dyDescent="0.25">
      <c r="A15" s="408" t="s">
        <v>414</v>
      </c>
      <c r="B15" s="408"/>
      <c r="C15" s="400" t="s">
        <v>415</v>
      </c>
    </row>
    <row r="16" spans="1:3" ht="45" x14ac:dyDescent="0.25">
      <c r="A16" s="408"/>
      <c r="B16" s="408"/>
      <c r="C16" s="400" t="s">
        <v>416</v>
      </c>
    </row>
    <row r="17" spans="1:3" x14ac:dyDescent="0.25">
      <c r="A17" s="408"/>
      <c r="B17" s="408"/>
      <c r="C17" s="400"/>
    </row>
    <row r="18" spans="1:3" x14ac:dyDescent="0.25">
      <c r="A18" s="408"/>
      <c r="B18" s="408"/>
      <c r="C18" s="400"/>
    </row>
    <row r="19" spans="1:3" x14ac:dyDescent="0.25">
      <c r="A19" s="410"/>
      <c r="B19" s="410"/>
      <c r="C19" s="410"/>
    </row>
    <row r="20" spans="1:3" x14ac:dyDescent="0.25">
      <c r="A20" s="408" t="s">
        <v>417</v>
      </c>
      <c r="B20" s="408"/>
      <c r="C20" s="401" t="s">
        <v>418</v>
      </c>
    </row>
    <row r="21" spans="1:3" x14ac:dyDescent="0.25">
      <c r="A21" s="408"/>
      <c r="B21" s="408"/>
      <c r="C21" s="401"/>
    </row>
    <row r="22" spans="1:3" ht="30" x14ac:dyDescent="0.25">
      <c r="A22" s="408"/>
      <c r="B22" s="408"/>
      <c r="C22" s="400" t="s">
        <v>419</v>
      </c>
    </row>
    <row r="23" spans="1:3" x14ac:dyDescent="0.25">
      <c r="A23" s="408"/>
      <c r="B23" s="408"/>
      <c r="C23" s="400"/>
    </row>
    <row r="24" spans="1:3" x14ac:dyDescent="0.25">
      <c r="A24" s="409"/>
      <c r="B24" s="409"/>
      <c r="C24" s="409"/>
    </row>
    <row r="25" spans="1:3" x14ac:dyDescent="0.25">
      <c r="A25" s="408" t="s">
        <v>420</v>
      </c>
      <c r="B25" s="408"/>
      <c r="C25" s="400" t="s">
        <v>421</v>
      </c>
    </row>
    <row r="26" spans="1:3" x14ac:dyDescent="0.25">
      <c r="A26" s="408"/>
      <c r="B26" s="408"/>
      <c r="C26" s="400" t="s">
        <v>422</v>
      </c>
    </row>
    <row r="27" spans="1:3" ht="30" x14ac:dyDescent="0.25">
      <c r="A27" s="408"/>
      <c r="B27" s="408"/>
      <c r="C27" s="400" t="s">
        <v>423</v>
      </c>
    </row>
    <row r="28" spans="1:3" ht="30" x14ac:dyDescent="0.25">
      <c r="A28" s="408"/>
      <c r="B28" s="408"/>
      <c r="C28" s="400" t="s">
        <v>424</v>
      </c>
    </row>
    <row r="29" spans="1:3" x14ac:dyDescent="0.25">
      <c r="A29" s="408"/>
      <c r="B29" s="408"/>
      <c r="C29" s="400"/>
    </row>
    <row r="30" spans="1:3" x14ac:dyDescent="0.25">
      <c r="A30" s="410"/>
      <c r="B30" s="410"/>
      <c r="C30" s="410"/>
    </row>
    <row r="31" spans="1:3" x14ac:dyDescent="0.25">
      <c r="A31" s="408" t="s">
        <v>425</v>
      </c>
      <c r="B31" s="408"/>
      <c r="C31" s="400" t="s">
        <v>426</v>
      </c>
    </row>
    <row r="32" spans="1:3" x14ac:dyDescent="0.25">
      <c r="A32" s="408"/>
      <c r="B32" s="408"/>
      <c r="C32" s="400"/>
    </row>
    <row r="33" spans="1:3" ht="45" x14ac:dyDescent="0.25">
      <c r="A33" s="408"/>
      <c r="B33" s="408"/>
      <c r="C33" s="400" t="s">
        <v>427</v>
      </c>
    </row>
    <row r="34" spans="1:3" x14ac:dyDescent="0.25">
      <c r="A34" s="408"/>
      <c r="B34" s="408"/>
      <c r="C34" s="400"/>
    </row>
    <row r="35" spans="1:3" x14ac:dyDescent="0.25">
      <c r="A35" s="408"/>
      <c r="B35" s="408"/>
      <c r="C35" s="400"/>
    </row>
    <row r="36" spans="1:3" x14ac:dyDescent="0.25">
      <c r="A36" s="408"/>
      <c r="B36" s="408"/>
      <c r="C36" s="400" t="s">
        <v>428</v>
      </c>
    </row>
    <row r="37" spans="1:3" x14ac:dyDescent="0.25">
      <c r="A37" s="408"/>
      <c r="B37" s="408"/>
      <c r="C37" s="400" t="s">
        <v>429</v>
      </c>
    </row>
    <row r="38" spans="1:3" x14ac:dyDescent="0.25">
      <c r="A38" s="410"/>
      <c r="B38" s="410"/>
      <c r="C38" s="410"/>
    </row>
    <row r="39" spans="1:3" x14ac:dyDescent="0.25">
      <c r="A39" s="408" t="s">
        <v>430</v>
      </c>
      <c r="B39" s="408"/>
      <c r="C39" s="400" t="s">
        <v>431</v>
      </c>
    </row>
    <row r="40" spans="1:3" ht="30" x14ac:dyDescent="0.25">
      <c r="A40" s="408"/>
      <c r="B40" s="408"/>
      <c r="C40" s="400" t="s">
        <v>432</v>
      </c>
    </row>
    <row r="41" spans="1:3" x14ac:dyDescent="0.25">
      <c r="A41" s="408"/>
      <c r="B41" s="408"/>
      <c r="C41" s="400" t="s">
        <v>433</v>
      </c>
    </row>
    <row r="42" spans="1:3" x14ac:dyDescent="0.25">
      <c r="A42" s="410"/>
      <c r="B42" s="410"/>
      <c r="C42" s="410"/>
    </row>
    <row r="43" spans="1:3" ht="30" x14ac:dyDescent="0.25">
      <c r="A43" s="411" t="s">
        <v>434</v>
      </c>
      <c r="B43" s="411"/>
      <c r="C43" s="400" t="s">
        <v>435</v>
      </c>
    </row>
    <row r="44" spans="1:3" ht="30" x14ac:dyDescent="0.25">
      <c r="A44" s="411"/>
      <c r="B44" s="411"/>
      <c r="C44" s="400" t="s">
        <v>436</v>
      </c>
    </row>
    <row r="45" spans="1:3" x14ac:dyDescent="0.25">
      <c r="A45" s="411"/>
      <c r="B45" s="411"/>
      <c r="C45" s="400" t="s">
        <v>437</v>
      </c>
    </row>
    <row r="46" spans="1:3" ht="30" x14ac:dyDescent="0.25">
      <c r="A46" s="411"/>
      <c r="B46" s="411"/>
      <c r="C46" s="400" t="s">
        <v>438</v>
      </c>
    </row>
    <row r="47" spans="1:3" x14ac:dyDescent="0.25">
      <c r="A47" s="410"/>
      <c r="B47" s="410"/>
      <c r="C47" s="410"/>
    </row>
    <row r="48" spans="1:3" ht="45" x14ac:dyDescent="0.25">
      <c r="A48" s="408" t="s">
        <v>439</v>
      </c>
      <c r="B48" s="408"/>
      <c r="C48" s="400" t="s">
        <v>440</v>
      </c>
    </row>
    <row r="49" spans="1:3" x14ac:dyDescent="0.25">
      <c r="A49" s="408"/>
      <c r="B49" s="408"/>
      <c r="C49" s="400"/>
    </row>
    <row r="50" spans="1:3" ht="30" x14ac:dyDescent="0.25">
      <c r="A50" s="408"/>
      <c r="B50" s="408"/>
      <c r="C50" s="400" t="s">
        <v>441</v>
      </c>
    </row>
    <row r="51" spans="1:3" ht="30" x14ac:dyDescent="0.25">
      <c r="A51" s="408"/>
      <c r="B51" s="408"/>
      <c r="C51" s="400" t="s">
        <v>442</v>
      </c>
    </row>
    <row r="52" spans="1:3" x14ac:dyDescent="0.25">
      <c r="A52" s="410"/>
      <c r="B52" s="410"/>
      <c r="C52" s="410"/>
    </row>
    <row r="53" spans="1:3" ht="30" x14ac:dyDescent="0.25">
      <c r="A53" s="411" t="s">
        <v>443</v>
      </c>
      <c r="B53" s="411"/>
      <c r="C53" s="400" t="s">
        <v>444</v>
      </c>
    </row>
    <row r="54" spans="1:3" x14ac:dyDescent="0.25">
      <c r="A54" s="411"/>
      <c r="B54" s="411"/>
      <c r="C54" s="400"/>
    </row>
    <row r="55" spans="1:3" ht="30" x14ac:dyDescent="0.25">
      <c r="A55" s="411"/>
      <c r="B55" s="411"/>
      <c r="C55" s="400" t="s">
        <v>445</v>
      </c>
    </row>
    <row r="56" spans="1:3" x14ac:dyDescent="0.25">
      <c r="A56" s="411"/>
      <c r="B56" s="411"/>
      <c r="C56" s="400"/>
    </row>
    <row r="57" spans="1:3" ht="30" x14ac:dyDescent="0.25">
      <c r="A57" s="411"/>
      <c r="B57" s="411"/>
      <c r="C57" s="400" t="s">
        <v>446</v>
      </c>
    </row>
    <row r="58" spans="1:3" x14ac:dyDescent="0.25">
      <c r="A58" s="411"/>
      <c r="B58" s="411"/>
      <c r="C58" s="400"/>
    </row>
    <row r="59" spans="1:3" ht="30" x14ac:dyDescent="0.25">
      <c r="A59" s="411"/>
      <c r="B59" s="411"/>
      <c r="C59" s="400" t="s">
        <v>447</v>
      </c>
    </row>
    <row r="60" spans="1:3" x14ac:dyDescent="0.25">
      <c r="A60" s="411"/>
      <c r="B60" s="411"/>
      <c r="C60" s="400"/>
    </row>
    <row r="61" spans="1:3" ht="30" x14ac:dyDescent="0.25">
      <c r="A61" s="411"/>
      <c r="B61" s="411"/>
      <c r="C61" s="400" t="s">
        <v>448</v>
      </c>
    </row>
    <row r="62" spans="1:3" x14ac:dyDescent="0.25">
      <c r="A62" s="411"/>
      <c r="B62" s="411"/>
      <c r="C62" s="400"/>
    </row>
    <row r="63" spans="1:3" x14ac:dyDescent="0.25">
      <c r="A63" s="411"/>
      <c r="B63" s="411"/>
      <c r="C63" s="400" t="s">
        <v>449</v>
      </c>
    </row>
    <row r="64" spans="1:3" x14ac:dyDescent="0.25">
      <c r="A64" s="411"/>
      <c r="B64" s="411"/>
      <c r="C64" s="400"/>
    </row>
    <row r="65" spans="1:3" x14ac:dyDescent="0.25">
      <c r="A65" s="410"/>
      <c r="B65" s="410"/>
      <c r="C65" s="410"/>
    </row>
    <row r="66" spans="1:3" ht="30" x14ac:dyDescent="0.25">
      <c r="A66" s="408" t="s">
        <v>450</v>
      </c>
      <c r="B66" s="408"/>
      <c r="C66" s="400" t="s">
        <v>451</v>
      </c>
    </row>
    <row r="67" spans="1:3" ht="30" x14ac:dyDescent="0.25">
      <c r="A67" s="408"/>
      <c r="B67" s="408"/>
      <c r="C67" s="400" t="s">
        <v>452</v>
      </c>
    </row>
    <row r="68" spans="1:3" x14ac:dyDescent="0.25">
      <c r="A68" s="408"/>
      <c r="B68" s="408"/>
      <c r="C68" s="400"/>
    </row>
    <row r="69" spans="1:3" x14ac:dyDescent="0.25">
      <c r="A69" s="409"/>
      <c r="B69" s="409"/>
      <c r="C69" s="409"/>
    </row>
    <row r="70" spans="1:3" ht="30" x14ac:dyDescent="0.25">
      <c r="A70" s="408" t="s">
        <v>453</v>
      </c>
      <c r="B70" s="408"/>
      <c r="C70" s="400" t="s">
        <v>454</v>
      </c>
    </row>
    <row r="71" spans="1:3" ht="30" x14ac:dyDescent="0.25">
      <c r="A71" s="408"/>
      <c r="B71" s="408"/>
      <c r="C71" s="400" t="s">
        <v>455</v>
      </c>
    </row>
    <row r="72" spans="1:3" ht="30" x14ac:dyDescent="0.25">
      <c r="A72" s="408"/>
      <c r="B72" s="408"/>
      <c r="C72" s="400" t="s">
        <v>456</v>
      </c>
    </row>
    <row r="73" spans="1:3" x14ac:dyDescent="0.25">
      <c r="A73" s="410"/>
      <c r="B73" s="410"/>
      <c r="C73" s="410"/>
    </row>
    <row r="74" spans="1:3" x14ac:dyDescent="0.25">
      <c r="A74" s="408" t="s">
        <v>457</v>
      </c>
      <c r="B74" s="408"/>
      <c r="C74" s="400" t="s">
        <v>458</v>
      </c>
    </row>
    <row r="75" spans="1:3" x14ac:dyDescent="0.25">
      <c r="A75" s="408"/>
      <c r="B75" s="408"/>
      <c r="C75" s="400" t="s">
        <v>459</v>
      </c>
    </row>
    <row r="76" spans="1:3" ht="30" x14ac:dyDescent="0.25">
      <c r="A76" s="408"/>
      <c r="B76" s="408"/>
      <c r="C76" s="400" t="s">
        <v>460</v>
      </c>
    </row>
    <row r="77" spans="1:3" ht="30" x14ac:dyDescent="0.25">
      <c r="A77" s="408"/>
      <c r="B77" s="408"/>
      <c r="C77" s="400" t="s">
        <v>461</v>
      </c>
    </row>
    <row r="78" spans="1:3" ht="30" x14ac:dyDescent="0.25">
      <c r="A78" s="408"/>
      <c r="B78" s="408"/>
      <c r="C78" s="400" t="s">
        <v>462</v>
      </c>
    </row>
    <row r="79" spans="1:3" ht="30" x14ac:dyDescent="0.25">
      <c r="A79" s="408"/>
      <c r="B79" s="408"/>
      <c r="C79" s="400" t="s">
        <v>463</v>
      </c>
    </row>
    <row r="80" spans="1:3" x14ac:dyDescent="0.25">
      <c r="A80" s="410"/>
      <c r="B80" s="410"/>
      <c r="C80" s="410"/>
    </row>
    <row r="81" spans="1:3" ht="30" x14ac:dyDescent="0.25">
      <c r="A81" s="408" t="s">
        <v>464</v>
      </c>
      <c r="B81" s="408"/>
      <c r="C81" s="400" t="s">
        <v>465</v>
      </c>
    </row>
    <row r="82" spans="1:3" x14ac:dyDescent="0.25">
      <c r="A82" s="408"/>
      <c r="B82" s="408"/>
      <c r="C82" s="400" t="s">
        <v>466</v>
      </c>
    </row>
    <row r="83" spans="1:3" ht="30" x14ac:dyDescent="0.25">
      <c r="A83" s="408"/>
      <c r="B83" s="408"/>
      <c r="C83" s="400" t="s">
        <v>467</v>
      </c>
    </row>
    <row r="84" spans="1:3" x14ac:dyDescent="0.25">
      <c r="A84" s="408"/>
      <c r="B84" s="408"/>
      <c r="C84" s="400" t="s">
        <v>468</v>
      </c>
    </row>
    <row r="85" spans="1:3" x14ac:dyDescent="0.25">
      <c r="A85" s="410"/>
      <c r="B85" s="410"/>
      <c r="C85" s="410"/>
    </row>
    <row r="86" spans="1:3" ht="30" x14ac:dyDescent="0.25">
      <c r="A86" s="408" t="s">
        <v>469</v>
      </c>
      <c r="B86" s="408"/>
      <c r="C86" s="400" t="s">
        <v>470</v>
      </c>
    </row>
    <row r="87" spans="1:3" ht="30" x14ac:dyDescent="0.25">
      <c r="A87" s="408"/>
      <c r="B87" s="408"/>
      <c r="C87" s="400" t="s">
        <v>471</v>
      </c>
    </row>
    <row r="88" spans="1:3" x14ac:dyDescent="0.25">
      <c r="A88" s="402"/>
      <c r="B88" s="402"/>
      <c r="C88" s="403"/>
    </row>
  </sheetData>
  <mergeCells count="31">
    <mergeCell ref="A81:B84"/>
    <mergeCell ref="A85:C85"/>
    <mergeCell ref="A86:B87"/>
    <mergeCell ref="A47:C47"/>
    <mergeCell ref="A48:B51"/>
    <mergeCell ref="A52:C52"/>
    <mergeCell ref="A53:B64"/>
    <mergeCell ref="A65:C65"/>
    <mergeCell ref="A73:C73"/>
    <mergeCell ref="A74:B79"/>
    <mergeCell ref="A80:C80"/>
    <mergeCell ref="A66:B68"/>
    <mergeCell ref="A69:C69"/>
    <mergeCell ref="A70:B72"/>
    <mergeCell ref="A31:B37"/>
    <mergeCell ref="A38:C38"/>
    <mergeCell ref="A39:B41"/>
    <mergeCell ref="A42:C42"/>
    <mergeCell ref="A43:B46"/>
    <mergeCell ref="A24:C24"/>
    <mergeCell ref="A25:B29"/>
    <mergeCell ref="A30:C30"/>
    <mergeCell ref="A6:B13"/>
    <mergeCell ref="A14:C14"/>
    <mergeCell ref="A15:B18"/>
    <mergeCell ref="A19:C19"/>
    <mergeCell ref="A1:C2"/>
    <mergeCell ref="A3:C3"/>
    <mergeCell ref="A4:B5"/>
    <mergeCell ref="C4:C5"/>
    <mergeCell ref="A20:B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0DDC6-2304-4647-B51C-E168B8BC290A}">
  <sheetPr>
    <tabColor theme="9"/>
  </sheetPr>
  <dimension ref="A1:G47"/>
  <sheetViews>
    <sheetView topLeftCell="A8" workbookViewId="0">
      <selection activeCell="D31" sqref="D31"/>
    </sheetView>
  </sheetViews>
  <sheetFormatPr defaultRowHeight="15" x14ac:dyDescent="0.25"/>
  <cols>
    <col min="1" max="1" width="10.5703125" bestFit="1" customWidth="1"/>
    <col min="2" max="2" width="34.140625" customWidth="1"/>
    <col min="3" max="3" width="13.140625" customWidth="1"/>
    <col min="4" max="4" width="12.140625" customWidth="1"/>
    <col min="5" max="5" width="11.42578125" customWidth="1"/>
    <col min="6" max="6" width="12.140625" customWidth="1"/>
    <col min="7" max="7" width="9.140625" bestFit="1" customWidth="1"/>
  </cols>
  <sheetData>
    <row r="1" spans="1:7" ht="15.75" thickBot="1" x14ac:dyDescent="0.3"/>
    <row r="2" spans="1:7" ht="29.1" customHeight="1" thickBot="1" x14ac:dyDescent="0.35">
      <c r="A2" s="137" t="s">
        <v>0</v>
      </c>
      <c r="B2" s="545" t="s">
        <v>57</v>
      </c>
      <c r="C2" s="546"/>
      <c r="D2" s="546"/>
      <c r="E2" s="546"/>
      <c r="F2" s="547"/>
    </row>
    <row r="3" spans="1:7" ht="19.5" thickBot="1" x14ac:dyDescent="0.35">
      <c r="A3" s="137" t="s">
        <v>59</v>
      </c>
      <c r="B3" s="545" t="s">
        <v>241</v>
      </c>
      <c r="C3" s="546"/>
      <c r="D3" s="546"/>
      <c r="E3" s="546"/>
      <c r="F3" s="547"/>
    </row>
    <row r="4" spans="1:7" ht="19.5" thickBot="1" x14ac:dyDescent="0.35">
      <c r="A4" s="138" t="s">
        <v>1</v>
      </c>
      <c r="B4" s="545" t="s">
        <v>263</v>
      </c>
      <c r="C4" s="546"/>
      <c r="D4" s="546"/>
      <c r="E4" s="546"/>
      <c r="F4" s="547"/>
    </row>
    <row r="5" spans="1:7" ht="29.25" thickTop="1" x14ac:dyDescent="0.25">
      <c r="A5" s="150" t="s">
        <v>9</v>
      </c>
      <c r="B5" s="151" t="s">
        <v>10</v>
      </c>
      <c r="C5" s="152" t="s">
        <v>3</v>
      </c>
      <c r="D5" s="152" t="s">
        <v>11</v>
      </c>
      <c r="E5" s="153" t="s">
        <v>12</v>
      </c>
      <c r="F5" s="154" t="s">
        <v>4</v>
      </c>
    </row>
    <row r="6" spans="1:7" ht="28.5" x14ac:dyDescent="0.25">
      <c r="A6" s="155" t="s">
        <v>22</v>
      </c>
      <c r="B6" s="156" t="s">
        <v>169</v>
      </c>
      <c r="C6" s="157"/>
      <c r="D6" s="157"/>
      <c r="E6" s="157"/>
      <c r="F6" s="64"/>
    </row>
    <row r="7" spans="1:7" ht="60" x14ac:dyDescent="0.25">
      <c r="A7" s="21">
        <v>1</v>
      </c>
      <c r="B7" s="39" t="s">
        <v>63</v>
      </c>
      <c r="C7" s="21" t="s">
        <v>16</v>
      </c>
      <c r="D7" s="21">
        <v>1</v>
      </c>
      <c r="E7" s="21">
        <v>500</v>
      </c>
      <c r="F7" s="64">
        <f t="shared" ref="F7:F13" si="0">D7*E7</f>
        <v>500</v>
      </c>
    </row>
    <row r="8" spans="1:7" ht="90" x14ac:dyDescent="0.25">
      <c r="A8" s="21">
        <v>2</v>
      </c>
      <c r="B8" s="39" t="s">
        <v>30</v>
      </c>
      <c r="C8" s="21" t="s">
        <v>13</v>
      </c>
      <c r="D8" s="21">
        <f>8*9.5*5*1.15</f>
        <v>436.99999999999994</v>
      </c>
      <c r="E8" s="21">
        <v>10</v>
      </c>
      <c r="F8" s="64">
        <f t="shared" si="0"/>
        <v>4369.9999999999991</v>
      </c>
    </row>
    <row r="9" spans="1:7" ht="60" x14ac:dyDescent="0.25">
      <c r="A9" s="21">
        <v>3</v>
      </c>
      <c r="B9" s="39" t="s">
        <v>20</v>
      </c>
      <c r="C9" s="21" t="s">
        <v>13</v>
      </c>
      <c r="D9" s="21">
        <f>8*9.5*5</f>
        <v>380</v>
      </c>
      <c r="E9" s="21">
        <v>8</v>
      </c>
      <c r="F9" s="64">
        <f t="shared" si="0"/>
        <v>3040</v>
      </c>
    </row>
    <row r="10" spans="1:7" ht="60" x14ac:dyDescent="0.25">
      <c r="A10" s="21">
        <v>4</v>
      </c>
      <c r="B10" s="39" t="s">
        <v>14</v>
      </c>
      <c r="C10" s="21" t="s">
        <v>17</v>
      </c>
      <c r="D10" s="21">
        <v>120</v>
      </c>
      <c r="E10" s="21">
        <v>4</v>
      </c>
      <c r="F10" s="64">
        <f t="shared" si="0"/>
        <v>480</v>
      </c>
    </row>
    <row r="11" spans="1:7" ht="60" x14ac:dyDescent="0.25">
      <c r="A11" s="21">
        <v>5</v>
      </c>
      <c r="B11" s="39" t="s">
        <v>84</v>
      </c>
      <c r="C11" s="21" t="s">
        <v>13</v>
      </c>
      <c r="D11" s="21">
        <f>D9*0.25</f>
        <v>95</v>
      </c>
      <c r="E11" s="21">
        <v>12</v>
      </c>
      <c r="F11" s="64">
        <f t="shared" si="0"/>
        <v>1140</v>
      </c>
    </row>
    <row r="12" spans="1:7" ht="75" x14ac:dyDescent="0.25">
      <c r="A12" s="21">
        <v>6</v>
      </c>
      <c r="B12" s="70" t="s">
        <v>18</v>
      </c>
      <c r="C12" s="67" t="s">
        <v>13</v>
      </c>
      <c r="D12" s="67">
        <f>((46*2+22*2+6*7)*2)*3.2</f>
        <v>1139.2</v>
      </c>
      <c r="E12" s="67">
        <v>3</v>
      </c>
      <c r="F12" s="64">
        <f t="shared" si="0"/>
        <v>3417.6000000000004</v>
      </c>
    </row>
    <row r="13" spans="1:7" ht="180" x14ac:dyDescent="0.25">
      <c r="A13" s="21">
        <v>7</v>
      </c>
      <c r="B13" s="70" t="s">
        <v>85</v>
      </c>
      <c r="C13" s="21" t="s">
        <v>19</v>
      </c>
      <c r="D13" s="21">
        <v>25</v>
      </c>
      <c r="E13" s="21">
        <v>125</v>
      </c>
      <c r="F13" s="64">
        <f t="shared" si="0"/>
        <v>3125</v>
      </c>
    </row>
    <row r="14" spans="1:7" ht="120" x14ac:dyDescent="0.25">
      <c r="A14" s="21">
        <v>8</v>
      </c>
      <c r="B14" s="70" t="s">
        <v>64</v>
      </c>
      <c r="C14" s="21" t="s">
        <v>2</v>
      </c>
      <c r="D14" s="21">
        <v>5</v>
      </c>
      <c r="E14" s="21">
        <v>150</v>
      </c>
      <c r="F14" s="64">
        <f>D14*E14</f>
        <v>750</v>
      </c>
    </row>
    <row r="15" spans="1:7" ht="60" x14ac:dyDescent="0.25">
      <c r="A15" s="21">
        <v>9</v>
      </c>
      <c r="B15" s="70" t="s">
        <v>23</v>
      </c>
      <c r="C15" s="21" t="s">
        <v>16</v>
      </c>
      <c r="D15" s="21">
        <v>1</v>
      </c>
      <c r="E15" s="21">
        <v>500</v>
      </c>
      <c r="F15" s="64">
        <f t="shared" ref="F15:F22" si="1">D15*E15</f>
        <v>500</v>
      </c>
    </row>
    <row r="16" spans="1:7" x14ac:dyDescent="0.25">
      <c r="A16" s="34"/>
      <c r="B16" s="548" t="s">
        <v>69</v>
      </c>
      <c r="C16" s="549"/>
      <c r="D16" s="549"/>
      <c r="E16" s="550"/>
      <c r="F16" s="82">
        <f>SUM(F7:F15)</f>
        <v>17322.599999999999</v>
      </c>
      <c r="G16" s="30"/>
    </row>
    <row r="17" spans="1:6" x14ac:dyDescent="0.25">
      <c r="A17" s="34"/>
      <c r="B17" s="139"/>
      <c r="C17" s="140"/>
      <c r="D17" s="140"/>
      <c r="E17" s="141"/>
      <c r="F17" s="82"/>
    </row>
    <row r="18" spans="1:6" ht="28.5" x14ac:dyDescent="0.25">
      <c r="A18" s="34" t="s">
        <v>24</v>
      </c>
      <c r="B18" s="142" t="s">
        <v>240</v>
      </c>
      <c r="C18" s="34"/>
      <c r="D18" s="34"/>
      <c r="E18" s="34"/>
      <c r="F18" s="82">
        <f t="shared" si="1"/>
        <v>0</v>
      </c>
    </row>
    <row r="19" spans="1:6" ht="75" x14ac:dyDescent="0.25">
      <c r="A19" s="21">
        <v>1</v>
      </c>
      <c r="B19" s="39" t="s">
        <v>170</v>
      </c>
      <c r="C19" s="66" t="s">
        <v>73</v>
      </c>
      <c r="D19" s="66">
        <v>1</v>
      </c>
      <c r="E19" s="66">
        <v>120</v>
      </c>
      <c r="F19" s="64">
        <f t="shared" si="1"/>
        <v>120</v>
      </c>
    </row>
    <row r="20" spans="1:6" ht="45" x14ac:dyDescent="0.25">
      <c r="A20" s="21">
        <v>2</v>
      </c>
      <c r="B20" s="39" t="s">
        <v>171</v>
      </c>
      <c r="C20" s="21" t="s">
        <v>2</v>
      </c>
      <c r="D20" s="21">
        <v>4</v>
      </c>
      <c r="E20" s="21">
        <v>60</v>
      </c>
      <c r="F20" s="64">
        <f t="shared" si="1"/>
        <v>240</v>
      </c>
    </row>
    <row r="21" spans="1:6" ht="75" x14ac:dyDescent="0.25">
      <c r="A21" s="21">
        <v>3</v>
      </c>
      <c r="B21" s="39" t="s">
        <v>18</v>
      </c>
      <c r="C21" s="21" t="s">
        <v>13</v>
      </c>
      <c r="D21" s="32">
        <f>5*4*2.5</f>
        <v>50</v>
      </c>
      <c r="E21" s="21">
        <v>3</v>
      </c>
      <c r="F21" s="64">
        <f t="shared" si="1"/>
        <v>150</v>
      </c>
    </row>
    <row r="22" spans="1:6" ht="75" x14ac:dyDescent="0.25">
      <c r="A22" s="21">
        <v>4</v>
      </c>
      <c r="B22" s="39" t="s">
        <v>172</v>
      </c>
      <c r="C22" s="21" t="s">
        <v>13</v>
      </c>
      <c r="D22" s="32">
        <f>5*5</f>
        <v>25</v>
      </c>
      <c r="E22" s="21">
        <v>18</v>
      </c>
      <c r="F22" s="64">
        <f t="shared" si="1"/>
        <v>450</v>
      </c>
    </row>
    <row r="23" spans="1:6" ht="45" x14ac:dyDescent="0.25">
      <c r="A23" s="21">
        <v>5</v>
      </c>
      <c r="B23" s="39" t="s">
        <v>26</v>
      </c>
      <c r="C23" s="21" t="s">
        <v>2</v>
      </c>
      <c r="D23" s="21">
        <v>4</v>
      </c>
      <c r="E23" s="21">
        <v>150</v>
      </c>
      <c r="F23" s="64">
        <f>D23*E23</f>
        <v>600</v>
      </c>
    </row>
    <row r="24" spans="1:6" ht="30" x14ac:dyDescent="0.25">
      <c r="A24" s="21">
        <v>6</v>
      </c>
      <c r="B24" s="39" t="s">
        <v>31</v>
      </c>
      <c r="C24" s="21" t="s">
        <v>2</v>
      </c>
      <c r="D24" s="21">
        <v>2</v>
      </c>
      <c r="E24" s="21">
        <v>150</v>
      </c>
      <c r="F24" s="64">
        <f>D24*E24</f>
        <v>300</v>
      </c>
    </row>
    <row r="25" spans="1:6" ht="30" x14ac:dyDescent="0.25">
      <c r="A25" s="21">
        <v>7</v>
      </c>
      <c r="B25" s="119" t="s">
        <v>98</v>
      </c>
      <c r="C25" s="120" t="s">
        <v>19</v>
      </c>
      <c r="D25" s="120">
        <v>2</v>
      </c>
      <c r="E25" s="121">
        <v>110</v>
      </c>
      <c r="F25" s="64">
        <f>D25*E25</f>
        <v>220</v>
      </c>
    </row>
    <row r="26" spans="1:6" x14ac:dyDescent="0.25">
      <c r="A26" s="21">
        <v>8</v>
      </c>
      <c r="B26" s="119" t="s">
        <v>99</v>
      </c>
      <c r="C26" s="120">
        <v>1</v>
      </c>
      <c r="D26" s="120">
        <v>1</v>
      </c>
      <c r="E26" s="121">
        <v>120</v>
      </c>
      <c r="F26" s="64">
        <f>D26*E26</f>
        <v>120</v>
      </c>
    </row>
    <row r="27" spans="1:6" ht="60" x14ac:dyDescent="0.25">
      <c r="A27" s="21">
        <v>9</v>
      </c>
      <c r="B27" s="119" t="s">
        <v>313</v>
      </c>
      <c r="C27" s="120" t="s">
        <v>73</v>
      </c>
      <c r="D27" s="120">
        <v>1</v>
      </c>
      <c r="E27" s="121">
        <v>300</v>
      </c>
      <c r="F27" s="64">
        <f>D27*E27</f>
        <v>300</v>
      </c>
    </row>
    <row r="28" spans="1:6" x14ac:dyDescent="0.25">
      <c r="A28" s="34"/>
      <c r="B28" s="502" t="s">
        <v>34</v>
      </c>
      <c r="C28" s="503"/>
      <c r="D28" s="503"/>
      <c r="E28" s="504"/>
      <c r="F28" s="82">
        <f>SUM(F19:F27)</f>
        <v>2500</v>
      </c>
    </row>
    <row r="29" spans="1:6" x14ac:dyDescent="0.25">
      <c r="A29" s="34"/>
      <c r="B29" s="78"/>
      <c r="C29" s="79"/>
      <c r="D29" s="79"/>
      <c r="E29" s="80"/>
      <c r="F29" s="82"/>
    </row>
    <row r="30" spans="1:6" x14ac:dyDescent="0.25">
      <c r="A30" s="34" t="s">
        <v>27</v>
      </c>
      <c r="B30" s="41" t="s">
        <v>32</v>
      </c>
      <c r="C30" s="34"/>
      <c r="D30" s="34"/>
      <c r="E30" s="34"/>
      <c r="F30" s="82"/>
    </row>
    <row r="31" spans="1:6" ht="165" x14ac:dyDescent="0.25">
      <c r="A31" s="21">
        <v>1</v>
      </c>
      <c r="B31" s="39" t="s">
        <v>82</v>
      </c>
      <c r="C31" s="21" t="s">
        <v>29</v>
      </c>
      <c r="D31" s="66">
        <f>5*15</f>
        <v>75</v>
      </c>
      <c r="E31" s="66">
        <v>120</v>
      </c>
      <c r="F31" s="64">
        <f>D31*E31</f>
        <v>9000</v>
      </c>
    </row>
    <row r="32" spans="1:6" x14ac:dyDescent="0.25">
      <c r="A32" s="21"/>
      <c r="B32" s="502" t="s">
        <v>33</v>
      </c>
      <c r="C32" s="503"/>
      <c r="D32" s="504"/>
      <c r="E32" s="66"/>
      <c r="F32" s="82">
        <f>SUM(F31)</f>
        <v>9000</v>
      </c>
    </row>
    <row r="33" spans="1:6" x14ac:dyDescent="0.25">
      <c r="A33" s="21"/>
      <c r="B33" s="39"/>
      <c r="C33" s="66"/>
      <c r="D33" s="66"/>
      <c r="E33" s="66"/>
      <c r="F33" s="64"/>
    </row>
    <row r="34" spans="1:6" x14ac:dyDescent="0.25">
      <c r="A34" s="77" t="s">
        <v>50</v>
      </c>
      <c r="B34" s="56" t="s">
        <v>54</v>
      </c>
      <c r="C34" s="48"/>
      <c r="D34" s="48"/>
      <c r="E34" s="40"/>
      <c r="F34" s="83"/>
    </row>
    <row r="35" spans="1:6" ht="90" x14ac:dyDescent="0.25">
      <c r="A35" s="13">
        <v>1</v>
      </c>
      <c r="B35" s="45" t="s">
        <v>55</v>
      </c>
      <c r="C35" s="13" t="s">
        <v>52</v>
      </c>
      <c r="D35" s="14">
        <v>1</v>
      </c>
      <c r="E35" s="40">
        <v>200</v>
      </c>
      <c r="F35" s="36">
        <f t="shared" ref="F35" si="2">D35*E35</f>
        <v>200</v>
      </c>
    </row>
    <row r="36" spans="1:6" x14ac:dyDescent="0.25">
      <c r="A36" s="77"/>
      <c r="B36" s="505" t="s">
        <v>56</v>
      </c>
      <c r="C36" s="505"/>
      <c r="D36" s="505"/>
      <c r="E36" s="505"/>
      <c r="F36" s="83">
        <f>SUM(F35)</f>
        <v>200</v>
      </c>
    </row>
    <row r="37" spans="1:6" x14ac:dyDescent="0.25">
      <c r="A37" s="21"/>
      <c r="B37" s="39"/>
      <c r="C37" s="66"/>
      <c r="D37" s="66"/>
      <c r="E37" s="66"/>
      <c r="F37" s="134"/>
    </row>
    <row r="38" spans="1:6" ht="15.75" thickBot="1" x14ac:dyDescent="0.3">
      <c r="A38" s="132"/>
      <c r="B38" s="509" t="s">
        <v>49</v>
      </c>
      <c r="C38" s="510"/>
      <c r="D38" s="510"/>
      <c r="E38" s="511"/>
      <c r="F38" s="133">
        <f>F32+F28+F16+F36</f>
        <v>29022.6</v>
      </c>
    </row>
    <row r="39" spans="1:6" x14ac:dyDescent="0.25">
      <c r="A39" s="21"/>
      <c r="B39" s="39"/>
      <c r="C39" s="66"/>
      <c r="D39" s="66"/>
      <c r="E39" s="40"/>
      <c r="F39" s="135"/>
    </row>
    <row r="40" spans="1:6" ht="15.75" thickBot="1" x14ac:dyDescent="0.3">
      <c r="A40" s="132"/>
      <c r="B40" s="509"/>
      <c r="C40" s="510"/>
      <c r="D40" s="510"/>
      <c r="E40" s="511"/>
      <c r="F40" s="136"/>
    </row>
    <row r="41" spans="1:6" x14ac:dyDescent="0.25">
      <c r="A41" s="143"/>
      <c r="B41" s="144"/>
      <c r="C41" s="145"/>
      <c r="D41" s="145"/>
      <c r="E41" s="146"/>
      <c r="F41" s="147"/>
    </row>
    <row r="42" spans="1:6" ht="15.75" thickBot="1" x14ac:dyDescent="0.3">
      <c r="A42" s="143"/>
      <c r="B42" s="144"/>
      <c r="C42" s="145"/>
      <c r="D42" s="145"/>
      <c r="E42" s="146"/>
      <c r="F42" s="147"/>
    </row>
    <row r="43" spans="1:6" x14ac:dyDescent="0.25">
      <c r="A43" s="148"/>
      <c r="B43" s="149" t="str">
        <f>Farjano!B62</f>
        <v xml:space="preserve">Company: </v>
      </c>
      <c r="C43" s="542"/>
      <c r="D43" s="543"/>
      <c r="E43" s="543"/>
      <c r="F43" s="544"/>
    </row>
    <row r="44" spans="1:6" x14ac:dyDescent="0.25">
      <c r="A44" s="148"/>
      <c r="B44" s="149" t="str">
        <f>Farjano!B63</f>
        <v>Representative:</v>
      </c>
      <c r="C44" s="533"/>
      <c r="D44" s="534"/>
      <c r="E44" s="534"/>
      <c r="F44" s="535"/>
    </row>
    <row r="45" spans="1:6" x14ac:dyDescent="0.25">
      <c r="A45" s="148"/>
      <c r="B45" s="149" t="str">
        <f>Farjano!B64</f>
        <v>Signature:</v>
      </c>
      <c r="C45" s="536"/>
      <c r="D45" s="537"/>
      <c r="E45" s="537"/>
      <c r="F45" s="538"/>
    </row>
    <row r="46" spans="1:6" ht="15.75" thickBot="1" x14ac:dyDescent="0.3">
      <c r="A46" s="148"/>
      <c r="B46" s="149" t="str">
        <f>Farjano!B65</f>
        <v>Stamp:</v>
      </c>
      <c r="C46" s="539"/>
      <c r="D46" s="540"/>
      <c r="E46" s="540"/>
      <c r="F46" s="541"/>
    </row>
    <row r="47" spans="1:6" x14ac:dyDescent="0.25">
      <c r="A47" s="143"/>
      <c r="B47" s="144">
        <f>Farjano!B66</f>
        <v>0</v>
      </c>
      <c r="C47" s="145"/>
      <c r="D47" s="145"/>
      <c r="E47" s="146"/>
      <c r="F47" s="147"/>
    </row>
  </sheetData>
  <mergeCells count="12">
    <mergeCell ref="B2:F2"/>
    <mergeCell ref="B3:F3"/>
    <mergeCell ref="B4:F4"/>
    <mergeCell ref="B16:E16"/>
    <mergeCell ref="B28:E28"/>
    <mergeCell ref="C44:F44"/>
    <mergeCell ref="C45:F46"/>
    <mergeCell ref="B32:D32"/>
    <mergeCell ref="B38:E38"/>
    <mergeCell ref="B40:E40"/>
    <mergeCell ref="C43:F43"/>
    <mergeCell ref="B36:E3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BA217-B3A6-4C98-AC6F-4A42B4B39806}">
  <dimension ref="A1:F58"/>
  <sheetViews>
    <sheetView topLeftCell="A41" workbookViewId="0">
      <selection activeCell="D45" sqref="D45"/>
    </sheetView>
  </sheetViews>
  <sheetFormatPr defaultRowHeight="15" x14ac:dyDescent="0.25"/>
  <cols>
    <col min="1" max="1" width="13.42578125" customWidth="1"/>
    <col min="2" max="2" width="33.140625" customWidth="1"/>
    <col min="6" max="6" width="14.7109375" customWidth="1"/>
  </cols>
  <sheetData>
    <row r="1" spans="1:6" ht="15.75" thickBot="1" x14ac:dyDescent="0.3"/>
    <row r="2" spans="1:6" ht="24.95" customHeight="1" thickBot="1" x14ac:dyDescent="0.35">
      <c r="A2" s="106" t="s">
        <v>0</v>
      </c>
      <c r="B2" s="512" t="s">
        <v>57</v>
      </c>
      <c r="C2" s="513"/>
      <c r="D2" s="513"/>
      <c r="E2" s="513"/>
      <c r="F2" s="514"/>
    </row>
    <row r="3" spans="1:6" ht="19.5" thickBot="1" x14ac:dyDescent="0.35">
      <c r="A3" s="106" t="s">
        <v>58</v>
      </c>
      <c r="B3" s="512" t="s">
        <v>300</v>
      </c>
      <c r="C3" s="513"/>
      <c r="D3" s="513"/>
      <c r="E3" s="513"/>
      <c r="F3" s="514"/>
    </row>
    <row r="4" spans="1:6" ht="19.5" thickBot="1" x14ac:dyDescent="0.35">
      <c r="A4" s="107" t="s">
        <v>1</v>
      </c>
      <c r="B4" s="512" t="s">
        <v>263</v>
      </c>
      <c r="C4" s="513"/>
      <c r="D4" s="513"/>
      <c r="E4" s="513"/>
      <c r="F4" s="514"/>
    </row>
    <row r="5" spans="1:6" ht="29.25" thickTop="1" x14ac:dyDescent="0.25">
      <c r="A5" s="96" t="s">
        <v>9</v>
      </c>
      <c r="B5" s="97" t="s">
        <v>10</v>
      </c>
      <c r="C5" s="98" t="s">
        <v>3</v>
      </c>
      <c r="D5" s="98" t="s">
        <v>11</v>
      </c>
      <c r="E5" s="98" t="s">
        <v>12</v>
      </c>
      <c r="F5" s="130" t="s">
        <v>4</v>
      </c>
    </row>
    <row r="6" spans="1:6" ht="42.75" x14ac:dyDescent="0.25">
      <c r="A6" s="101" t="s">
        <v>22</v>
      </c>
      <c r="B6" s="131" t="s">
        <v>301</v>
      </c>
      <c r="C6" s="102"/>
      <c r="D6" s="102"/>
      <c r="E6" s="102"/>
      <c r="F6" s="64"/>
    </row>
    <row r="7" spans="1:6" ht="60" x14ac:dyDescent="0.25">
      <c r="A7" s="21">
        <v>1</v>
      </c>
      <c r="B7" s="39" t="s">
        <v>63</v>
      </c>
      <c r="C7" s="21" t="s">
        <v>16</v>
      </c>
      <c r="D7" s="21">
        <v>1</v>
      </c>
      <c r="E7" s="21">
        <v>600</v>
      </c>
      <c r="F7" s="64">
        <f t="shared" ref="F7:F14" si="0">D7*E7</f>
        <v>600</v>
      </c>
    </row>
    <row r="8" spans="1:6" ht="90" x14ac:dyDescent="0.25">
      <c r="A8" s="13">
        <v>2</v>
      </c>
      <c r="B8" s="39" t="s">
        <v>30</v>
      </c>
      <c r="C8" s="21" t="s">
        <v>13</v>
      </c>
      <c r="D8" s="21">
        <v>459</v>
      </c>
      <c r="E8" s="21">
        <v>10</v>
      </c>
      <c r="F8" s="64">
        <f t="shared" si="0"/>
        <v>4590</v>
      </c>
    </row>
    <row r="9" spans="1:6" ht="60" x14ac:dyDescent="0.25">
      <c r="A9" s="21">
        <v>3</v>
      </c>
      <c r="B9" s="39" t="s">
        <v>20</v>
      </c>
      <c r="C9" s="21" t="s">
        <v>13</v>
      </c>
      <c r="D9" s="21">
        <v>408</v>
      </c>
      <c r="E9" s="21">
        <v>8</v>
      </c>
      <c r="F9" s="64">
        <f t="shared" si="0"/>
        <v>3264</v>
      </c>
    </row>
    <row r="10" spans="1:6" ht="60" x14ac:dyDescent="0.25">
      <c r="A10" s="13">
        <v>4</v>
      </c>
      <c r="B10" s="39" t="s">
        <v>14</v>
      </c>
      <c r="C10" s="21" t="s">
        <v>17</v>
      </c>
      <c r="D10" s="21">
        <v>115.6</v>
      </c>
      <c r="E10" s="21">
        <v>4</v>
      </c>
      <c r="F10" s="64">
        <f t="shared" si="0"/>
        <v>462.4</v>
      </c>
    </row>
    <row r="11" spans="1:6" ht="105" x14ac:dyDescent="0.25">
      <c r="A11" s="21">
        <v>5</v>
      </c>
      <c r="B11" s="39" t="s">
        <v>290</v>
      </c>
      <c r="C11" s="67" t="s">
        <v>15</v>
      </c>
      <c r="D11" s="67">
        <v>61.2</v>
      </c>
      <c r="E11" s="67">
        <v>25</v>
      </c>
      <c r="F11" s="117">
        <f t="shared" si="0"/>
        <v>1530</v>
      </c>
    </row>
    <row r="12" spans="1:6" ht="105" x14ac:dyDescent="0.25">
      <c r="A12" s="13">
        <v>6</v>
      </c>
      <c r="B12" s="39" t="s">
        <v>68</v>
      </c>
      <c r="C12" s="67" t="s">
        <v>15</v>
      </c>
      <c r="D12" s="67">
        <v>32.64</v>
      </c>
      <c r="E12" s="67">
        <v>200</v>
      </c>
      <c r="F12" s="117">
        <f t="shared" si="0"/>
        <v>6528</v>
      </c>
    </row>
    <row r="13" spans="1:6" ht="90" x14ac:dyDescent="0.25">
      <c r="A13" s="21">
        <v>7</v>
      </c>
      <c r="B13" s="39" t="s">
        <v>302</v>
      </c>
      <c r="C13" s="67" t="s">
        <v>13</v>
      </c>
      <c r="D13" s="67">
        <v>813.96</v>
      </c>
      <c r="E13" s="67">
        <v>3</v>
      </c>
      <c r="F13" s="64">
        <f t="shared" si="0"/>
        <v>2441.88</v>
      </c>
    </row>
    <row r="14" spans="1:6" ht="210" x14ac:dyDescent="0.25">
      <c r="A14" s="13">
        <v>8</v>
      </c>
      <c r="B14" s="39" t="s">
        <v>303</v>
      </c>
      <c r="C14" s="21" t="s">
        <v>19</v>
      </c>
      <c r="D14" s="21">
        <v>24</v>
      </c>
      <c r="E14" s="21">
        <v>125</v>
      </c>
      <c r="F14" s="64">
        <f t="shared" si="0"/>
        <v>3000</v>
      </c>
    </row>
    <row r="15" spans="1:6" ht="135" x14ac:dyDescent="0.25">
      <c r="A15" s="21">
        <v>9</v>
      </c>
      <c r="B15" s="39" t="s">
        <v>64</v>
      </c>
      <c r="C15" s="21" t="s">
        <v>2</v>
      </c>
      <c r="D15" s="21">
        <v>6</v>
      </c>
      <c r="E15" s="21">
        <v>150</v>
      </c>
      <c r="F15" s="64">
        <f>D15*E15</f>
        <v>900</v>
      </c>
    </row>
    <row r="16" spans="1:6" ht="60" x14ac:dyDescent="0.25">
      <c r="A16" s="13">
        <v>10</v>
      </c>
      <c r="B16" s="39" t="s">
        <v>304</v>
      </c>
      <c r="C16" s="21" t="s">
        <v>16</v>
      </c>
      <c r="D16" s="21">
        <v>1</v>
      </c>
      <c r="E16" s="21">
        <v>500</v>
      </c>
      <c r="F16" s="64">
        <f t="shared" ref="F16:F38" si="1">D16*E16</f>
        <v>500</v>
      </c>
    </row>
    <row r="17" spans="1:6" x14ac:dyDescent="0.25">
      <c r="A17" s="77"/>
      <c r="B17" s="499" t="s">
        <v>269</v>
      </c>
      <c r="C17" s="500"/>
      <c r="D17" s="500"/>
      <c r="E17" s="501"/>
      <c r="F17" s="82">
        <f>SUM(F7:F16)</f>
        <v>23816.280000000002</v>
      </c>
    </row>
    <row r="18" spans="1:6" x14ac:dyDescent="0.25">
      <c r="A18" s="21"/>
      <c r="B18" s="65"/>
      <c r="C18" s="21"/>
      <c r="D18" s="21"/>
      <c r="E18" s="21"/>
      <c r="F18" s="64"/>
    </row>
    <row r="19" spans="1:6" ht="42.75" x14ac:dyDescent="0.25">
      <c r="A19" s="101" t="s">
        <v>24</v>
      </c>
      <c r="B19" s="131" t="s">
        <v>305</v>
      </c>
      <c r="C19" s="102"/>
      <c r="D19" s="102"/>
      <c r="E19" s="102"/>
      <c r="F19" s="64"/>
    </row>
    <row r="20" spans="1:6" ht="60" x14ac:dyDescent="0.25">
      <c r="A20" s="21">
        <v>1</v>
      </c>
      <c r="B20" s="39" t="s">
        <v>66</v>
      </c>
      <c r="C20" s="21" t="s">
        <v>16</v>
      </c>
      <c r="D20" s="21">
        <v>1</v>
      </c>
      <c r="E20" s="21">
        <v>400</v>
      </c>
      <c r="F20" s="64">
        <f t="shared" ref="F20:F27" si="2">D20*E20</f>
        <v>400</v>
      </c>
    </row>
    <row r="21" spans="1:6" ht="90" x14ac:dyDescent="0.25">
      <c r="A21" s="21">
        <v>2</v>
      </c>
      <c r="B21" s="39" t="s">
        <v>30</v>
      </c>
      <c r="C21" s="32" t="s">
        <v>13</v>
      </c>
      <c r="D21" s="32">
        <v>306</v>
      </c>
      <c r="E21" s="32">
        <v>10</v>
      </c>
      <c r="F21" s="117">
        <f t="shared" si="2"/>
        <v>3060</v>
      </c>
    </row>
    <row r="22" spans="1:6" ht="60" x14ac:dyDescent="0.25">
      <c r="A22" s="21">
        <v>3</v>
      </c>
      <c r="B22" s="39" t="s">
        <v>20</v>
      </c>
      <c r="C22" s="21" t="s">
        <v>13</v>
      </c>
      <c r="D22" s="21">
        <v>272</v>
      </c>
      <c r="E22" s="21">
        <v>8</v>
      </c>
      <c r="F22" s="64">
        <f t="shared" si="2"/>
        <v>2176</v>
      </c>
    </row>
    <row r="23" spans="1:6" ht="60" x14ac:dyDescent="0.25">
      <c r="A23" s="21">
        <v>4</v>
      </c>
      <c r="B23" s="39" t="s">
        <v>14</v>
      </c>
      <c r="C23" s="21" t="s">
        <v>17</v>
      </c>
      <c r="D23" s="21">
        <v>102</v>
      </c>
      <c r="E23" s="21">
        <v>4</v>
      </c>
      <c r="F23" s="64">
        <f t="shared" si="2"/>
        <v>408</v>
      </c>
    </row>
    <row r="24" spans="1:6" ht="90" x14ac:dyDescent="0.25">
      <c r="A24" s="21">
        <v>5</v>
      </c>
      <c r="B24" s="39" t="s">
        <v>67</v>
      </c>
      <c r="C24" s="67" t="s">
        <v>15</v>
      </c>
      <c r="D24" s="67">
        <v>40.799999999999997</v>
      </c>
      <c r="E24" s="67">
        <v>25</v>
      </c>
      <c r="F24" s="117">
        <f t="shared" si="2"/>
        <v>1019.9999999999999</v>
      </c>
    </row>
    <row r="25" spans="1:6" ht="105" x14ac:dyDescent="0.25">
      <c r="A25" s="21">
        <v>6</v>
      </c>
      <c r="B25" s="39" t="s">
        <v>68</v>
      </c>
      <c r="C25" s="67" t="s">
        <v>15</v>
      </c>
      <c r="D25" s="67">
        <v>21.76</v>
      </c>
      <c r="E25" s="67">
        <v>200</v>
      </c>
      <c r="F25" s="117">
        <f t="shared" si="2"/>
        <v>4352</v>
      </c>
    </row>
    <row r="26" spans="1:6" ht="90" x14ac:dyDescent="0.25">
      <c r="A26" s="21">
        <v>7</v>
      </c>
      <c r="B26" s="39" t="s">
        <v>18</v>
      </c>
      <c r="C26" s="67" t="s">
        <v>13</v>
      </c>
      <c r="D26" s="67">
        <v>730.16</v>
      </c>
      <c r="E26" s="67">
        <v>3</v>
      </c>
      <c r="F26" s="64">
        <f t="shared" si="2"/>
        <v>2190.48</v>
      </c>
    </row>
    <row r="27" spans="1:6" ht="210" x14ac:dyDescent="0.25">
      <c r="A27" s="21">
        <v>8</v>
      </c>
      <c r="B27" s="39" t="s">
        <v>303</v>
      </c>
      <c r="C27" s="21" t="s">
        <v>19</v>
      </c>
      <c r="D27" s="21">
        <v>20</v>
      </c>
      <c r="E27" s="21">
        <v>125</v>
      </c>
      <c r="F27" s="64">
        <f t="shared" si="2"/>
        <v>2500</v>
      </c>
    </row>
    <row r="28" spans="1:6" ht="135" x14ac:dyDescent="0.25">
      <c r="A28" s="21">
        <v>9</v>
      </c>
      <c r="B28" s="39" t="s">
        <v>21</v>
      </c>
      <c r="C28" s="21" t="s">
        <v>2</v>
      </c>
      <c r="D28" s="21">
        <v>4</v>
      </c>
      <c r="E28" s="21">
        <v>150</v>
      </c>
      <c r="F28" s="64">
        <f>D28*E28</f>
        <v>600</v>
      </c>
    </row>
    <row r="29" spans="1:6" ht="60" x14ac:dyDescent="0.25">
      <c r="A29" s="21">
        <v>10</v>
      </c>
      <c r="B29" s="39" t="s">
        <v>273</v>
      </c>
      <c r="C29" s="21" t="s">
        <v>16</v>
      </c>
      <c r="D29" s="21">
        <v>1</v>
      </c>
      <c r="E29" s="21">
        <v>400</v>
      </c>
      <c r="F29" s="64">
        <f t="shared" ref="F29" si="3">D29*E29</f>
        <v>400</v>
      </c>
    </row>
    <row r="30" spans="1:6" x14ac:dyDescent="0.25">
      <c r="A30" s="77"/>
      <c r="B30" s="499" t="s">
        <v>299</v>
      </c>
      <c r="C30" s="500"/>
      <c r="D30" s="500"/>
      <c r="E30" s="501"/>
      <c r="F30" s="82">
        <f>SUM(F20:F29)</f>
        <v>17106.48</v>
      </c>
    </row>
    <row r="31" spans="1:6" x14ac:dyDescent="0.25">
      <c r="A31" s="77"/>
      <c r="B31" s="112"/>
      <c r="C31" s="113"/>
      <c r="D31" s="113"/>
      <c r="E31" s="114"/>
      <c r="F31" s="82"/>
    </row>
    <row r="32" spans="1:6" ht="28.5" x14ac:dyDescent="0.25">
      <c r="A32" s="77" t="s">
        <v>27</v>
      </c>
      <c r="B32" s="62" t="s">
        <v>306</v>
      </c>
      <c r="C32" s="34"/>
      <c r="D32" s="34"/>
      <c r="E32" s="34"/>
      <c r="F32" s="82">
        <f t="shared" si="1"/>
        <v>0</v>
      </c>
    </row>
    <row r="33" spans="1:6" ht="60" x14ac:dyDescent="0.25">
      <c r="A33" s="21">
        <v>1</v>
      </c>
      <c r="B33" s="39" t="s">
        <v>296</v>
      </c>
      <c r="C33" s="21" t="s">
        <v>16</v>
      </c>
      <c r="D33" s="21">
        <v>1</v>
      </c>
      <c r="E33" s="21">
        <v>200</v>
      </c>
      <c r="F33" s="64">
        <f t="shared" si="1"/>
        <v>200</v>
      </c>
    </row>
    <row r="34" spans="1:6" ht="90" x14ac:dyDescent="0.25">
      <c r="A34" s="13">
        <v>2</v>
      </c>
      <c r="B34" s="39" t="s">
        <v>30</v>
      </c>
      <c r="C34" s="21" t="s">
        <v>13</v>
      </c>
      <c r="D34" s="21">
        <v>8.6</v>
      </c>
      <c r="E34" s="21">
        <v>10</v>
      </c>
      <c r="F34" s="64">
        <f t="shared" si="1"/>
        <v>86</v>
      </c>
    </row>
    <row r="35" spans="1:6" ht="60" x14ac:dyDescent="0.25">
      <c r="A35" s="21">
        <v>3</v>
      </c>
      <c r="B35" s="39" t="s">
        <v>14</v>
      </c>
      <c r="C35" s="21" t="s">
        <v>17</v>
      </c>
      <c r="D35" s="21">
        <v>6.6</v>
      </c>
      <c r="E35" s="21">
        <v>4</v>
      </c>
      <c r="F35" s="64">
        <f t="shared" si="1"/>
        <v>26.4</v>
      </c>
    </row>
    <row r="36" spans="1:6" ht="60" x14ac:dyDescent="0.25">
      <c r="A36" s="13">
        <v>4</v>
      </c>
      <c r="B36" s="39" t="s">
        <v>70</v>
      </c>
      <c r="C36" s="66" t="s">
        <v>13</v>
      </c>
      <c r="D36" s="66">
        <v>34.159999999999997</v>
      </c>
      <c r="E36" s="66">
        <v>3</v>
      </c>
      <c r="F36" s="64">
        <f t="shared" si="1"/>
        <v>102.47999999999999</v>
      </c>
    </row>
    <row r="37" spans="1:6" ht="75" x14ac:dyDescent="0.25">
      <c r="A37" s="21">
        <v>5</v>
      </c>
      <c r="B37" s="39" t="s">
        <v>71</v>
      </c>
      <c r="C37" s="21" t="s">
        <v>13</v>
      </c>
      <c r="D37" s="21">
        <v>62.72</v>
      </c>
      <c r="E37" s="21">
        <v>4</v>
      </c>
      <c r="F37" s="64">
        <f t="shared" si="1"/>
        <v>250.88</v>
      </c>
    </row>
    <row r="38" spans="1:6" ht="60" x14ac:dyDescent="0.25">
      <c r="A38" s="13">
        <v>6</v>
      </c>
      <c r="B38" s="39" t="s">
        <v>307</v>
      </c>
      <c r="C38" s="21" t="s">
        <v>16</v>
      </c>
      <c r="D38" s="32">
        <v>1</v>
      </c>
      <c r="E38" s="21">
        <v>200</v>
      </c>
      <c r="F38" s="64">
        <f t="shared" si="1"/>
        <v>200</v>
      </c>
    </row>
    <row r="39" spans="1:6" ht="30" x14ac:dyDescent="0.25">
      <c r="A39" s="21">
        <v>7</v>
      </c>
      <c r="B39" s="39" t="s">
        <v>31</v>
      </c>
      <c r="C39" s="21" t="s">
        <v>2</v>
      </c>
      <c r="D39" s="21">
        <v>2</v>
      </c>
      <c r="E39" s="21">
        <v>150</v>
      </c>
      <c r="F39" s="64">
        <f>D39*E39</f>
        <v>300</v>
      </c>
    </row>
    <row r="40" spans="1:6" ht="45" x14ac:dyDescent="0.25">
      <c r="A40" s="13">
        <v>8</v>
      </c>
      <c r="B40" s="119" t="s">
        <v>308</v>
      </c>
      <c r="C40" s="21" t="s">
        <v>16</v>
      </c>
      <c r="D40" s="120">
        <v>1</v>
      </c>
      <c r="E40" s="121">
        <v>300</v>
      </c>
      <c r="F40" s="64">
        <f>D40*E40</f>
        <v>300</v>
      </c>
    </row>
    <row r="41" spans="1:6" ht="45" x14ac:dyDescent="0.25">
      <c r="A41" s="21">
        <v>9</v>
      </c>
      <c r="B41" s="119" t="s">
        <v>75</v>
      </c>
      <c r="C41" s="120" t="s">
        <v>73</v>
      </c>
      <c r="D41" s="120">
        <v>1</v>
      </c>
      <c r="E41" s="121">
        <v>200</v>
      </c>
      <c r="F41" s="64">
        <f>D41*E41</f>
        <v>200</v>
      </c>
    </row>
    <row r="42" spans="1:6" x14ac:dyDescent="0.25">
      <c r="A42" s="77"/>
      <c r="B42" s="502" t="s">
        <v>34</v>
      </c>
      <c r="C42" s="503"/>
      <c r="D42" s="503"/>
      <c r="E42" s="504"/>
      <c r="F42" s="82">
        <f>SUM(F36:F41)</f>
        <v>1353.3600000000001</v>
      </c>
    </row>
    <row r="43" spans="1:6" x14ac:dyDescent="0.25">
      <c r="A43" s="77"/>
      <c r="B43" s="78"/>
      <c r="C43" s="79"/>
      <c r="D43" s="79"/>
      <c r="E43" s="80"/>
      <c r="F43" s="82"/>
    </row>
    <row r="44" spans="1:6" x14ac:dyDescent="0.25">
      <c r="A44" s="77" t="s">
        <v>50</v>
      </c>
      <c r="B44" s="41" t="s">
        <v>32</v>
      </c>
      <c r="C44" s="34"/>
      <c r="D44" s="34"/>
      <c r="E44" s="34"/>
      <c r="F44" s="82"/>
    </row>
    <row r="45" spans="1:6" ht="165" x14ac:dyDescent="0.25">
      <c r="A45" s="13">
        <v>1</v>
      </c>
      <c r="B45" s="39" t="s">
        <v>82</v>
      </c>
      <c r="C45" s="21" t="s">
        <v>29</v>
      </c>
      <c r="D45" s="66">
        <f>5*15</f>
        <v>75</v>
      </c>
      <c r="E45" s="66">
        <v>120</v>
      </c>
      <c r="F45" s="64">
        <f>D45*E45</f>
        <v>9000</v>
      </c>
    </row>
    <row r="46" spans="1:6" x14ac:dyDescent="0.25">
      <c r="A46" s="13"/>
      <c r="B46" s="502" t="s">
        <v>33</v>
      </c>
      <c r="C46" s="503"/>
      <c r="D46" s="504"/>
      <c r="E46" s="66"/>
      <c r="F46" s="82">
        <f>SUM(F45)</f>
        <v>9000</v>
      </c>
    </row>
    <row r="47" spans="1:6" x14ac:dyDescent="0.25">
      <c r="A47" s="77" t="s">
        <v>51</v>
      </c>
      <c r="B47" s="56" t="s">
        <v>54</v>
      </c>
      <c r="C47" s="48"/>
      <c r="D47" s="48"/>
      <c r="E47" s="40"/>
      <c r="F47" s="83"/>
    </row>
    <row r="48" spans="1:6" ht="90" x14ac:dyDescent="0.25">
      <c r="A48" s="13">
        <v>1</v>
      </c>
      <c r="B48" s="45" t="s">
        <v>55</v>
      </c>
      <c r="C48" s="13" t="s">
        <v>52</v>
      </c>
      <c r="D48" s="14">
        <v>1</v>
      </c>
      <c r="E48" s="40">
        <v>200</v>
      </c>
      <c r="F48" s="36">
        <f t="shared" ref="F48" si="4">D48*E48</f>
        <v>200</v>
      </c>
    </row>
    <row r="49" spans="1:6" x14ac:dyDescent="0.25">
      <c r="A49" s="77"/>
      <c r="B49" s="505" t="s">
        <v>56</v>
      </c>
      <c r="C49" s="505"/>
      <c r="D49" s="505"/>
      <c r="E49" s="505"/>
      <c r="F49" s="83">
        <f>SUM(F48)</f>
        <v>200</v>
      </c>
    </row>
    <row r="50" spans="1:6" x14ac:dyDescent="0.25">
      <c r="A50" s="13"/>
      <c r="B50" s="39"/>
      <c r="C50" s="66"/>
      <c r="D50" s="66"/>
      <c r="E50" s="66"/>
      <c r="F50" s="134"/>
    </row>
    <row r="51" spans="1:6" ht="15.75" thickBot="1" x14ac:dyDescent="0.3">
      <c r="A51" s="132"/>
      <c r="B51" s="509" t="s">
        <v>49</v>
      </c>
      <c r="C51" s="510"/>
      <c r="D51" s="510"/>
      <c r="E51" s="511"/>
      <c r="F51" s="133">
        <f>F49+F46+F42+F30+F17</f>
        <v>51476.12</v>
      </c>
    </row>
    <row r="52" spans="1:6" x14ac:dyDescent="0.25">
      <c r="A52" s="87"/>
      <c r="B52" s="88"/>
      <c r="C52" s="89"/>
      <c r="D52" s="89"/>
      <c r="E52" s="89"/>
      <c r="F52" s="126"/>
    </row>
    <row r="53" spans="1:6" ht="15.75" thickBot="1" x14ac:dyDescent="0.3">
      <c r="A53" s="87"/>
      <c r="B53" s="88"/>
      <c r="C53" s="89"/>
      <c r="D53" s="89"/>
      <c r="E53" s="89"/>
      <c r="F53" s="126"/>
    </row>
    <row r="54" spans="1:6" x14ac:dyDescent="0.25">
      <c r="A54" s="92"/>
      <c r="B54" s="93" t="s">
        <v>5</v>
      </c>
      <c r="C54" s="487"/>
      <c r="D54" s="488"/>
      <c r="E54" s="488"/>
      <c r="F54" s="489"/>
    </row>
    <row r="55" spans="1:6" x14ac:dyDescent="0.25">
      <c r="A55" s="92"/>
      <c r="B55" s="93" t="s">
        <v>6</v>
      </c>
      <c r="C55" s="490"/>
      <c r="D55" s="491"/>
      <c r="E55" s="491"/>
      <c r="F55" s="492"/>
    </row>
    <row r="56" spans="1:6" x14ac:dyDescent="0.25">
      <c r="A56" s="92"/>
      <c r="B56" s="93" t="s">
        <v>7</v>
      </c>
      <c r="C56" s="490"/>
      <c r="D56" s="491"/>
      <c r="E56" s="491"/>
      <c r="F56" s="492"/>
    </row>
    <row r="57" spans="1:6" ht="15.75" thickBot="1" x14ac:dyDescent="0.3">
      <c r="A57" s="92"/>
      <c r="B57" s="93" t="s">
        <v>8</v>
      </c>
      <c r="C57" s="493"/>
      <c r="D57" s="494"/>
      <c r="E57" s="494"/>
      <c r="F57" s="495"/>
    </row>
    <row r="58" spans="1:6" x14ac:dyDescent="0.25">
      <c r="A58" s="87"/>
      <c r="B58" s="88"/>
      <c r="C58" s="89"/>
      <c r="D58" s="89"/>
      <c r="E58" s="89"/>
      <c r="F58" s="126"/>
    </row>
  </sheetData>
  <mergeCells count="12">
    <mergeCell ref="B42:E42"/>
    <mergeCell ref="B2:F2"/>
    <mergeCell ref="B3:F3"/>
    <mergeCell ref="B4:F4"/>
    <mergeCell ref="B17:E17"/>
    <mergeCell ref="B30:E30"/>
    <mergeCell ref="B46:D46"/>
    <mergeCell ref="B51:E51"/>
    <mergeCell ref="C54:F54"/>
    <mergeCell ref="C55:F55"/>
    <mergeCell ref="C56:F57"/>
    <mergeCell ref="B49:E49"/>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923E-DA29-464B-A21E-03BB47BCB819}">
  <sheetPr>
    <tabColor theme="0"/>
  </sheetPr>
  <dimension ref="A1:F53"/>
  <sheetViews>
    <sheetView topLeftCell="A35" workbookViewId="0">
      <selection activeCell="I5" sqref="I5"/>
    </sheetView>
  </sheetViews>
  <sheetFormatPr defaultRowHeight="15" x14ac:dyDescent="0.25"/>
  <cols>
    <col min="1" max="1" width="15.42578125" customWidth="1"/>
    <col min="2" max="2" width="44.5703125" customWidth="1"/>
    <col min="3" max="3" width="6" customWidth="1"/>
    <col min="6" max="6" width="15.85546875" customWidth="1"/>
    <col min="7" max="7" width="10.140625" bestFit="1"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58</v>
      </c>
      <c r="B3" s="512" t="s">
        <v>492</v>
      </c>
      <c r="C3" s="513"/>
      <c r="D3" s="513"/>
      <c r="E3" s="513"/>
      <c r="F3" s="514"/>
    </row>
    <row r="4" spans="1:6" ht="19.5" thickBot="1" x14ac:dyDescent="0.35">
      <c r="A4" s="107" t="s">
        <v>1</v>
      </c>
      <c r="B4" s="512" t="s">
        <v>263</v>
      </c>
      <c r="C4" s="513"/>
      <c r="D4" s="513"/>
      <c r="E4" s="513"/>
      <c r="F4" s="514"/>
    </row>
    <row r="5" spans="1:6" ht="29.25" thickTop="1" x14ac:dyDescent="0.25">
      <c r="A5" s="96" t="s">
        <v>9</v>
      </c>
      <c r="B5" s="97" t="s">
        <v>10</v>
      </c>
      <c r="C5" s="98" t="s">
        <v>3</v>
      </c>
      <c r="D5" s="98" t="s">
        <v>11</v>
      </c>
      <c r="E5" s="98" t="s">
        <v>12</v>
      </c>
      <c r="F5" s="130" t="s">
        <v>4</v>
      </c>
    </row>
    <row r="6" spans="1:6" x14ac:dyDescent="0.25">
      <c r="A6" s="101" t="s">
        <v>22</v>
      </c>
      <c r="B6" s="62" t="s">
        <v>315</v>
      </c>
      <c r="C6" s="102"/>
      <c r="D6" s="102"/>
      <c r="E6" s="102"/>
      <c r="F6" s="64"/>
    </row>
    <row r="7" spans="1:6" ht="75" x14ac:dyDescent="0.25">
      <c r="A7" s="21">
        <v>1</v>
      </c>
      <c r="B7" s="39" t="s">
        <v>309</v>
      </c>
      <c r="C7" s="21" t="s">
        <v>16</v>
      </c>
      <c r="D7" s="21">
        <v>1</v>
      </c>
      <c r="E7" s="21"/>
      <c r="F7" s="64">
        <f>E7*D7</f>
        <v>0</v>
      </c>
    </row>
    <row r="8" spans="1:6" ht="60" x14ac:dyDescent="0.25">
      <c r="A8" s="13">
        <v>1</v>
      </c>
      <c r="B8" s="65" t="s">
        <v>179</v>
      </c>
      <c r="C8" s="21" t="s">
        <v>16</v>
      </c>
      <c r="D8" s="21">
        <v>1</v>
      </c>
      <c r="E8" s="35"/>
      <c r="F8" s="64">
        <f t="shared" ref="F8:F34" si="0">E8*D8</f>
        <v>0</v>
      </c>
    </row>
    <row r="9" spans="1:6" ht="30" x14ac:dyDescent="0.25">
      <c r="A9" s="13">
        <v>2</v>
      </c>
      <c r="B9" s="39" t="s">
        <v>101</v>
      </c>
      <c r="C9" s="21" t="s">
        <v>13</v>
      </c>
      <c r="D9" s="21">
        <f>(10*9)</f>
        <v>90</v>
      </c>
      <c r="E9" s="14"/>
      <c r="F9" s="64">
        <f t="shared" si="0"/>
        <v>0</v>
      </c>
    </row>
    <row r="10" spans="1:6" ht="45" x14ac:dyDescent="0.25">
      <c r="A10" s="13">
        <v>3</v>
      </c>
      <c r="B10" s="39" t="s">
        <v>102</v>
      </c>
      <c r="C10" s="21" t="s">
        <v>103</v>
      </c>
      <c r="D10" s="21">
        <f>(9.6+3.6+8.4*3)*0.5*0.7</f>
        <v>13.440000000000001</v>
      </c>
      <c r="E10" s="14"/>
      <c r="F10" s="64">
        <f t="shared" si="0"/>
        <v>0</v>
      </c>
    </row>
    <row r="11" spans="1:6" ht="30" x14ac:dyDescent="0.25">
      <c r="A11" s="13">
        <v>4</v>
      </c>
      <c r="B11" s="39" t="s">
        <v>104</v>
      </c>
      <c r="C11" s="21" t="s">
        <v>13</v>
      </c>
      <c r="D11" s="21">
        <f>(13.2+8.4*3)*0.5*0.05</f>
        <v>0.96000000000000019</v>
      </c>
      <c r="E11" s="14"/>
      <c r="F11" s="64">
        <f t="shared" si="0"/>
        <v>0</v>
      </c>
    </row>
    <row r="12" spans="1:6" ht="30" x14ac:dyDescent="0.25">
      <c r="A12" s="13">
        <v>5</v>
      </c>
      <c r="B12" s="39" t="s">
        <v>105</v>
      </c>
      <c r="C12" s="21" t="s">
        <v>15</v>
      </c>
      <c r="D12" s="21">
        <f>(13.2+8.4*3)*0.4*0.9</f>
        <v>13.824000000000003</v>
      </c>
      <c r="E12" s="14"/>
      <c r="F12" s="64">
        <f t="shared" si="0"/>
        <v>0</v>
      </c>
    </row>
    <row r="13" spans="1:6" ht="75" x14ac:dyDescent="0.25">
      <c r="A13" s="13">
        <v>6</v>
      </c>
      <c r="B13" s="39" t="s">
        <v>106</v>
      </c>
      <c r="C13" s="66" t="s">
        <v>15</v>
      </c>
      <c r="D13" s="21">
        <f>(13.2+8.4*3)*0.4*0.2</f>
        <v>3.072000000000001</v>
      </c>
      <c r="E13" s="40"/>
      <c r="F13" s="64">
        <f t="shared" si="0"/>
        <v>0</v>
      </c>
    </row>
    <row r="14" spans="1:6" ht="75" x14ac:dyDescent="0.25">
      <c r="A14" s="33">
        <v>7</v>
      </c>
      <c r="B14" s="70" t="s">
        <v>107</v>
      </c>
      <c r="C14" s="67" t="s">
        <v>15</v>
      </c>
      <c r="D14" s="33">
        <f>(0.7*0.7*0.3)*6</f>
        <v>0.88199999999999978</v>
      </c>
      <c r="E14" s="68"/>
      <c r="F14" s="64">
        <f t="shared" si="0"/>
        <v>0</v>
      </c>
    </row>
    <row r="15" spans="1:6" ht="75" x14ac:dyDescent="0.25">
      <c r="A15" s="33">
        <v>8</v>
      </c>
      <c r="B15" s="70" t="s">
        <v>108</v>
      </c>
      <c r="C15" s="32" t="s">
        <v>15</v>
      </c>
      <c r="D15" s="33">
        <f>0.2*0.2*4.3*6</f>
        <v>1.032</v>
      </c>
      <c r="E15" s="103"/>
      <c r="F15" s="64">
        <f t="shared" si="0"/>
        <v>0</v>
      </c>
    </row>
    <row r="16" spans="1:6" ht="30" x14ac:dyDescent="0.25">
      <c r="A16" s="13">
        <v>9</v>
      </c>
      <c r="B16" s="39" t="s">
        <v>109</v>
      </c>
      <c r="C16" s="13" t="s">
        <v>15</v>
      </c>
      <c r="D16" s="44">
        <f>8.4*9*0.25</f>
        <v>18.900000000000002</v>
      </c>
      <c r="E16" s="14"/>
      <c r="F16" s="64">
        <f t="shared" si="0"/>
        <v>0</v>
      </c>
    </row>
    <row r="17" spans="1:6" x14ac:dyDescent="0.25">
      <c r="A17" s="13">
        <v>10</v>
      </c>
      <c r="B17" s="39" t="s">
        <v>110</v>
      </c>
      <c r="C17" s="13" t="s">
        <v>13</v>
      </c>
      <c r="D17" s="44">
        <f>8.4*9</f>
        <v>75.600000000000009</v>
      </c>
      <c r="E17" s="14"/>
      <c r="F17" s="64">
        <f t="shared" si="0"/>
        <v>0</v>
      </c>
    </row>
    <row r="18" spans="1:6" ht="30" x14ac:dyDescent="0.25">
      <c r="A18" s="13">
        <v>11</v>
      </c>
      <c r="B18" s="39" t="s">
        <v>111</v>
      </c>
      <c r="C18" s="21" t="s">
        <v>13</v>
      </c>
      <c r="D18" s="69">
        <f>D17</f>
        <v>75.600000000000009</v>
      </c>
      <c r="E18" s="40"/>
      <c r="F18" s="64">
        <f t="shared" si="0"/>
        <v>0</v>
      </c>
    </row>
    <row r="19" spans="1:6" ht="90" x14ac:dyDescent="0.25">
      <c r="A19" s="13">
        <v>12</v>
      </c>
      <c r="B19" s="39" t="s">
        <v>112</v>
      </c>
      <c r="C19" s="13" t="s">
        <v>15</v>
      </c>
      <c r="D19" s="44">
        <f>8.4*9*0.08</f>
        <v>6.0480000000000009</v>
      </c>
      <c r="E19" s="14"/>
      <c r="F19" s="64">
        <f t="shared" si="0"/>
        <v>0</v>
      </c>
    </row>
    <row r="20" spans="1:6" ht="30" x14ac:dyDescent="0.25">
      <c r="A20" s="33">
        <v>13</v>
      </c>
      <c r="B20" s="70" t="s">
        <v>113</v>
      </c>
      <c r="C20" s="32" t="s">
        <v>13</v>
      </c>
      <c r="D20" s="32">
        <f>(15+8.4*2)*2.9</f>
        <v>92.22</v>
      </c>
      <c r="E20" s="71"/>
      <c r="F20" s="64">
        <f t="shared" si="0"/>
        <v>0</v>
      </c>
    </row>
    <row r="21" spans="1:6" ht="75" x14ac:dyDescent="0.25">
      <c r="A21" s="33">
        <v>14</v>
      </c>
      <c r="B21" s="70" t="s">
        <v>114</v>
      </c>
      <c r="C21" s="32" t="s">
        <v>15</v>
      </c>
      <c r="D21" s="32">
        <f>5*2*0.2*0.15</f>
        <v>0.3</v>
      </c>
      <c r="E21" s="103"/>
      <c r="F21" s="64">
        <f t="shared" si="0"/>
        <v>0</v>
      </c>
    </row>
    <row r="22" spans="1:6" ht="75" x14ac:dyDescent="0.25">
      <c r="A22" s="13">
        <v>15</v>
      </c>
      <c r="B22" s="39" t="s">
        <v>115</v>
      </c>
      <c r="C22" s="21" t="s">
        <v>15</v>
      </c>
      <c r="D22" s="21">
        <f>(15+8.4*2)*0.2*0.2</f>
        <v>1.2720000000000002</v>
      </c>
      <c r="E22" s="35"/>
      <c r="F22" s="64">
        <f t="shared" si="0"/>
        <v>0</v>
      </c>
    </row>
    <row r="23" spans="1:6" ht="75" x14ac:dyDescent="0.25">
      <c r="A23" s="13">
        <v>16</v>
      </c>
      <c r="B23" s="39" t="s">
        <v>116</v>
      </c>
      <c r="C23" s="13" t="s">
        <v>15</v>
      </c>
      <c r="D23" s="21">
        <f>(15+8.4*2)*0.2*0.2</f>
        <v>1.2720000000000002</v>
      </c>
      <c r="E23" s="14"/>
      <c r="F23" s="64">
        <f t="shared" si="0"/>
        <v>0</v>
      </c>
    </row>
    <row r="24" spans="1:6" ht="105" x14ac:dyDescent="0.25">
      <c r="A24" s="13">
        <v>17</v>
      </c>
      <c r="B24" s="39" t="s">
        <v>117</v>
      </c>
      <c r="C24" s="13" t="s">
        <v>13</v>
      </c>
      <c r="D24" s="13">
        <f>9.5*9.6*1.15</f>
        <v>104.88</v>
      </c>
      <c r="E24" s="14"/>
      <c r="F24" s="64">
        <f t="shared" si="0"/>
        <v>0</v>
      </c>
    </row>
    <row r="25" spans="1:6" ht="45" x14ac:dyDescent="0.25">
      <c r="A25" s="13">
        <v>18</v>
      </c>
      <c r="B25" s="39" t="s">
        <v>118</v>
      </c>
      <c r="C25" s="13" t="s">
        <v>13</v>
      </c>
      <c r="D25" s="13">
        <f>8*9</f>
        <v>72</v>
      </c>
      <c r="E25" s="14"/>
      <c r="F25" s="64">
        <f t="shared" si="0"/>
        <v>0</v>
      </c>
    </row>
    <row r="26" spans="1:6" ht="60" x14ac:dyDescent="0.25">
      <c r="A26" s="13">
        <v>19</v>
      </c>
      <c r="B26" s="39" t="s">
        <v>119</v>
      </c>
      <c r="C26" s="66" t="s">
        <v>16</v>
      </c>
      <c r="D26" s="66">
        <v>1</v>
      </c>
      <c r="E26" s="40"/>
      <c r="F26" s="64">
        <f t="shared" si="0"/>
        <v>0</v>
      </c>
    </row>
    <row r="27" spans="1:6" ht="30" x14ac:dyDescent="0.25">
      <c r="A27" s="13">
        <v>20</v>
      </c>
      <c r="B27" s="74" t="s">
        <v>120</v>
      </c>
      <c r="C27" s="38" t="s">
        <v>13</v>
      </c>
      <c r="D27" s="21">
        <f>((15+8.4*2.5)*2.9)</f>
        <v>104.39999999999999</v>
      </c>
      <c r="E27" s="75"/>
      <c r="F27" s="64">
        <f t="shared" si="0"/>
        <v>0</v>
      </c>
    </row>
    <row r="28" spans="1:6" ht="30" x14ac:dyDescent="0.25">
      <c r="A28" s="13">
        <v>21</v>
      </c>
      <c r="B28" s="74" t="s">
        <v>121</v>
      </c>
      <c r="C28" s="38" t="s">
        <v>13</v>
      </c>
      <c r="D28" s="21">
        <f>((15+8.4*2.5)*2.9)</f>
        <v>104.39999999999999</v>
      </c>
      <c r="E28" s="75"/>
      <c r="F28" s="64">
        <f t="shared" si="0"/>
        <v>0</v>
      </c>
    </row>
    <row r="29" spans="1:6" ht="30" x14ac:dyDescent="0.25">
      <c r="A29" s="13">
        <v>22</v>
      </c>
      <c r="B29" s="74" t="s">
        <v>122</v>
      </c>
      <c r="C29" s="38" t="s">
        <v>13</v>
      </c>
      <c r="D29" s="66">
        <f>D27</f>
        <v>104.39999999999999</v>
      </c>
      <c r="E29" s="75"/>
      <c r="F29" s="64">
        <f t="shared" si="0"/>
        <v>0</v>
      </c>
    </row>
    <row r="30" spans="1:6" ht="30" x14ac:dyDescent="0.25">
      <c r="A30" s="13">
        <v>23</v>
      </c>
      <c r="B30" s="74" t="s">
        <v>123</v>
      </c>
      <c r="C30" s="13" t="s">
        <v>13</v>
      </c>
      <c r="D30" s="38">
        <f>D28</f>
        <v>104.39999999999999</v>
      </c>
      <c r="E30" s="75"/>
      <c r="F30" s="64">
        <f t="shared" si="0"/>
        <v>0</v>
      </c>
    </row>
    <row r="31" spans="1:6" ht="90" x14ac:dyDescent="0.25">
      <c r="A31" s="13">
        <v>24</v>
      </c>
      <c r="B31" s="104" t="s">
        <v>124</v>
      </c>
      <c r="C31" s="33" t="s">
        <v>2</v>
      </c>
      <c r="D31" s="21">
        <v>1</v>
      </c>
      <c r="E31" s="35"/>
      <c r="F31" s="64">
        <f t="shared" si="0"/>
        <v>0</v>
      </c>
    </row>
    <row r="32" spans="1:6" ht="135" x14ac:dyDescent="0.25">
      <c r="A32" s="13">
        <v>25</v>
      </c>
      <c r="B32" s="65" t="s">
        <v>125</v>
      </c>
      <c r="C32" s="33" t="s">
        <v>2</v>
      </c>
      <c r="D32" s="13">
        <v>5</v>
      </c>
      <c r="E32" s="14"/>
      <c r="F32" s="64">
        <f t="shared" si="0"/>
        <v>0</v>
      </c>
    </row>
    <row r="33" spans="1:6" ht="60" x14ac:dyDescent="0.25">
      <c r="A33" s="13">
        <v>26</v>
      </c>
      <c r="B33" s="76" t="s">
        <v>53</v>
      </c>
      <c r="C33" s="105" t="s">
        <v>2</v>
      </c>
      <c r="D33" s="33">
        <v>1</v>
      </c>
      <c r="E33" s="71"/>
      <c r="F33" s="64">
        <f t="shared" si="0"/>
        <v>0</v>
      </c>
    </row>
    <row r="34" spans="1:6" ht="30" x14ac:dyDescent="0.25">
      <c r="A34" s="13">
        <v>27</v>
      </c>
      <c r="B34" s="76" t="s">
        <v>126</v>
      </c>
      <c r="C34" s="21" t="s">
        <v>19</v>
      </c>
      <c r="D34" s="21">
        <v>1</v>
      </c>
      <c r="E34" s="21"/>
      <c r="F34" s="64">
        <f t="shared" si="0"/>
        <v>0</v>
      </c>
    </row>
    <row r="35" spans="1:6" x14ac:dyDescent="0.25">
      <c r="A35" s="77"/>
      <c r="B35" s="502" t="s">
        <v>180</v>
      </c>
      <c r="C35" s="503"/>
      <c r="D35" s="503"/>
      <c r="E35" s="504"/>
      <c r="F35" s="83">
        <f>SUM(F7:F34)</f>
        <v>0</v>
      </c>
    </row>
    <row r="36" spans="1:6" x14ac:dyDescent="0.25">
      <c r="A36" s="21"/>
      <c r="B36" s="65"/>
      <c r="C36" s="21"/>
      <c r="D36" s="21"/>
      <c r="E36" s="21"/>
      <c r="F36" s="64"/>
    </row>
    <row r="37" spans="1:6" x14ac:dyDescent="0.25">
      <c r="A37" s="77"/>
      <c r="B37" s="112"/>
      <c r="C37" s="113"/>
      <c r="D37" s="113"/>
      <c r="E37" s="114"/>
      <c r="F37" s="82"/>
    </row>
    <row r="38" spans="1:6" x14ac:dyDescent="0.25">
      <c r="A38" s="77" t="s">
        <v>24</v>
      </c>
      <c r="B38" s="56" t="s">
        <v>54</v>
      </c>
      <c r="C38" s="48"/>
      <c r="D38" s="48"/>
      <c r="E38" s="40"/>
      <c r="F38" s="83"/>
    </row>
    <row r="39" spans="1:6" ht="60" x14ac:dyDescent="0.25">
      <c r="A39" s="13">
        <v>1</v>
      </c>
      <c r="B39" s="45" t="s">
        <v>55</v>
      </c>
      <c r="C39" s="13" t="s">
        <v>52</v>
      </c>
      <c r="D39" s="14">
        <v>1</v>
      </c>
      <c r="E39" s="40"/>
      <c r="F39" s="36">
        <f t="shared" ref="F39" si="1">D39*E39</f>
        <v>0</v>
      </c>
    </row>
    <row r="40" spans="1:6" x14ac:dyDescent="0.25">
      <c r="A40" s="77"/>
      <c r="B40" s="505" t="s">
        <v>56</v>
      </c>
      <c r="C40" s="505"/>
      <c r="D40" s="505"/>
      <c r="E40" s="505"/>
      <c r="F40" s="83">
        <f>SUM(F39)</f>
        <v>0</v>
      </c>
    </row>
    <row r="41" spans="1:6" x14ac:dyDescent="0.25">
      <c r="A41" s="13"/>
      <c r="B41" s="39"/>
      <c r="C41" s="66"/>
      <c r="D41" s="66"/>
      <c r="E41" s="66"/>
      <c r="F41" s="64"/>
    </row>
    <row r="42" spans="1:6" ht="18.75" x14ac:dyDescent="0.25">
      <c r="A42" s="506" t="s">
        <v>407</v>
      </c>
      <c r="B42" s="507"/>
      <c r="C42" s="507"/>
      <c r="D42" s="507"/>
      <c r="E42" s="507"/>
      <c r="F42" s="508"/>
    </row>
    <row r="43" spans="1:6" x14ac:dyDescent="0.25">
      <c r="A43" s="101" t="s">
        <v>22</v>
      </c>
      <c r="B43" s="62" t="s">
        <v>315</v>
      </c>
      <c r="C43" s="66"/>
      <c r="D43" s="66"/>
      <c r="E43" s="66"/>
      <c r="F43" s="82">
        <f>F35</f>
        <v>0</v>
      </c>
    </row>
    <row r="44" spans="1:6" x14ac:dyDescent="0.25">
      <c r="A44" s="77" t="s">
        <v>24</v>
      </c>
      <c r="B44" s="364" t="s">
        <v>54</v>
      </c>
      <c r="C44" s="66"/>
      <c r="D44" s="66"/>
      <c r="E44" s="66"/>
      <c r="F44" s="82">
        <f>F40</f>
        <v>0</v>
      </c>
    </row>
    <row r="45" spans="1:6" x14ac:dyDescent="0.25">
      <c r="A45" s="13"/>
      <c r="B45" s="39"/>
      <c r="C45" s="66"/>
      <c r="D45" s="66"/>
      <c r="E45" s="66"/>
      <c r="F45" s="64"/>
    </row>
    <row r="46" spans="1:6" ht="15.75" thickBot="1" x14ac:dyDescent="0.3">
      <c r="A46" s="132"/>
      <c r="B46" s="509" t="s">
        <v>49</v>
      </c>
      <c r="C46" s="510"/>
      <c r="D46" s="510"/>
      <c r="E46" s="511"/>
      <c r="F46" s="133">
        <f>F43+F44</f>
        <v>0</v>
      </c>
    </row>
    <row r="47" spans="1:6" x14ac:dyDescent="0.25">
      <c r="A47" s="87"/>
      <c r="B47" s="88"/>
      <c r="C47" s="89"/>
      <c r="D47" s="89"/>
      <c r="E47" s="89"/>
      <c r="F47" s="126"/>
    </row>
    <row r="48" spans="1:6" ht="15.75" thickBot="1" x14ac:dyDescent="0.3">
      <c r="A48" s="87"/>
      <c r="B48" s="88"/>
      <c r="C48" s="89"/>
      <c r="D48" s="89"/>
      <c r="E48" s="89"/>
      <c r="F48" s="126"/>
    </row>
    <row r="49" spans="1:6" x14ac:dyDescent="0.25">
      <c r="A49" s="92"/>
      <c r="B49" s="93" t="s">
        <v>5</v>
      </c>
      <c r="C49" s="487"/>
      <c r="D49" s="488"/>
      <c r="E49" s="488"/>
      <c r="F49" s="489"/>
    </row>
    <row r="50" spans="1:6" x14ac:dyDescent="0.25">
      <c r="A50" s="92"/>
      <c r="B50" s="93" t="s">
        <v>6</v>
      </c>
      <c r="C50" s="490"/>
      <c r="D50" s="491"/>
      <c r="E50" s="491"/>
      <c r="F50" s="492"/>
    </row>
    <row r="51" spans="1:6" x14ac:dyDescent="0.25">
      <c r="A51" s="92"/>
      <c r="B51" s="93" t="s">
        <v>7</v>
      </c>
      <c r="C51" s="490"/>
      <c r="D51" s="491"/>
      <c r="E51" s="491"/>
      <c r="F51" s="492"/>
    </row>
    <row r="52" spans="1:6" ht="15.75" thickBot="1" x14ac:dyDescent="0.3">
      <c r="A52" s="92"/>
      <c r="B52" s="93" t="s">
        <v>8</v>
      </c>
      <c r="C52" s="493"/>
      <c r="D52" s="494"/>
      <c r="E52" s="494"/>
      <c r="F52" s="495"/>
    </row>
    <row r="53" spans="1:6" x14ac:dyDescent="0.25">
      <c r="A53" s="87"/>
      <c r="B53" s="88"/>
      <c r="C53" s="89"/>
      <c r="D53" s="89"/>
      <c r="E53" s="89"/>
      <c r="F53" s="126"/>
    </row>
  </sheetData>
  <mergeCells count="10">
    <mergeCell ref="C51:F52"/>
    <mergeCell ref="B40:E40"/>
    <mergeCell ref="B2:F2"/>
    <mergeCell ref="B3:F3"/>
    <mergeCell ref="B4:F4"/>
    <mergeCell ref="B35:E35"/>
    <mergeCell ref="C49:F49"/>
    <mergeCell ref="C50:F50"/>
    <mergeCell ref="A42:F42"/>
    <mergeCell ref="B46:E46"/>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536E7-3F0E-4487-8867-3A2C3E1F139D}">
  <sheetPr>
    <tabColor theme="0"/>
    <pageSetUpPr fitToPage="1"/>
  </sheetPr>
  <dimension ref="A1:F62"/>
  <sheetViews>
    <sheetView view="pageBreakPreview" zoomScaleNormal="100" zoomScaleSheetLayoutView="100" workbookViewId="0">
      <pane ySplit="4" topLeftCell="A47" activePane="bottomLeft" state="frozen"/>
      <selection pane="bottomLeft" activeCell="B2" sqref="B2:F2"/>
    </sheetView>
  </sheetViews>
  <sheetFormatPr defaultColWidth="8.7109375" defaultRowHeight="15" x14ac:dyDescent="0.25"/>
  <cols>
    <col min="1" max="1" width="11.28515625" style="12" customWidth="1"/>
    <col min="2" max="2" width="34.7109375" style="7" customWidth="1"/>
    <col min="3" max="3" width="6.5703125" style="9" customWidth="1"/>
    <col min="4" max="4" width="10.28515625" style="9" customWidth="1"/>
    <col min="5" max="5" width="11.42578125" style="9" customWidth="1"/>
    <col min="6" max="6" width="16.140625" customWidth="1"/>
    <col min="7" max="7" width="9.140625" bestFit="1" customWidth="1"/>
  </cols>
  <sheetData>
    <row r="1" spans="1:6" ht="19.5" thickBot="1" x14ac:dyDescent="0.35">
      <c r="A1" s="106" t="s">
        <v>0</v>
      </c>
      <c r="B1" s="512" t="s">
        <v>57</v>
      </c>
      <c r="C1" s="513"/>
      <c r="D1" s="513"/>
      <c r="E1" s="513"/>
      <c r="F1" s="514"/>
    </row>
    <row r="2" spans="1:6" ht="19.5" thickBot="1" x14ac:dyDescent="0.35">
      <c r="A2" s="106" t="s">
        <v>58</v>
      </c>
      <c r="B2" s="512" t="s">
        <v>493</v>
      </c>
      <c r="C2" s="513"/>
      <c r="D2" s="513"/>
      <c r="E2" s="513"/>
      <c r="F2" s="514"/>
    </row>
    <row r="3" spans="1:6" ht="19.5" thickBot="1" x14ac:dyDescent="0.35">
      <c r="A3" s="107" t="s">
        <v>1</v>
      </c>
      <c r="B3" s="512" t="s">
        <v>263</v>
      </c>
      <c r="C3" s="513"/>
      <c r="D3" s="513"/>
      <c r="E3" s="513"/>
      <c r="F3" s="514"/>
    </row>
    <row r="4" spans="1:6" ht="15.75" thickTop="1" x14ac:dyDescent="0.25">
      <c r="A4" s="96" t="s">
        <v>9</v>
      </c>
      <c r="B4" s="97" t="s">
        <v>10</v>
      </c>
      <c r="C4" s="98" t="s">
        <v>3</v>
      </c>
      <c r="D4" s="98" t="s">
        <v>11</v>
      </c>
      <c r="E4" s="98" t="s">
        <v>12</v>
      </c>
      <c r="F4" s="130" t="s">
        <v>4</v>
      </c>
    </row>
    <row r="5" spans="1:6" s="10" customFormat="1" x14ac:dyDescent="0.25">
      <c r="A5" s="101" t="s">
        <v>22</v>
      </c>
      <c r="B5" s="62" t="s">
        <v>127</v>
      </c>
      <c r="C5" s="102"/>
      <c r="D5" s="102"/>
      <c r="E5" s="102"/>
      <c r="F5" s="64"/>
    </row>
    <row r="6" spans="1:6" s="10" customFormat="1" ht="105" x14ac:dyDescent="0.25">
      <c r="A6" s="13">
        <v>1</v>
      </c>
      <c r="B6" s="39" t="s">
        <v>309</v>
      </c>
      <c r="C6" s="21" t="s">
        <v>16</v>
      </c>
      <c r="D6" s="21">
        <v>1</v>
      </c>
      <c r="E6" s="35"/>
      <c r="F6" s="36">
        <f>E6*D6</f>
        <v>0</v>
      </c>
    </row>
    <row r="7" spans="1:6" s="10" customFormat="1" ht="30" x14ac:dyDescent="0.25">
      <c r="A7" s="13">
        <v>2</v>
      </c>
      <c r="B7" s="39" t="s">
        <v>101</v>
      </c>
      <c r="C7" s="21" t="s">
        <v>13</v>
      </c>
      <c r="D7" s="21">
        <f>(10*9)</f>
        <v>90</v>
      </c>
      <c r="E7" s="14"/>
      <c r="F7" s="36">
        <f t="shared" ref="F7:F32" si="0">E7*D7</f>
        <v>0</v>
      </c>
    </row>
    <row r="8" spans="1:6" s="10" customFormat="1" ht="60" x14ac:dyDescent="0.25">
      <c r="A8" s="13">
        <v>3</v>
      </c>
      <c r="B8" s="39" t="s">
        <v>102</v>
      </c>
      <c r="C8" s="21" t="s">
        <v>103</v>
      </c>
      <c r="D8" s="21">
        <f>(9.6+3.6+8.4*3)*0.5*0.7</f>
        <v>13.440000000000001</v>
      </c>
      <c r="E8" s="14"/>
      <c r="F8" s="36">
        <f t="shared" si="0"/>
        <v>0</v>
      </c>
    </row>
    <row r="9" spans="1:6" s="10" customFormat="1" ht="45" x14ac:dyDescent="0.25">
      <c r="A9" s="13">
        <v>4</v>
      </c>
      <c r="B9" s="39" t="s">
        <v>104</v>
      </c>
      <c r="C9" s="21" t="s">
        <v>13</v>
      </c>
      <c r="D9" s="21">
        <f>(13.2+8.4*3)*0.5*0.05</f>
        <v>0.96000000000000019</v>
      </c>
      <c r="E9" s="14"/>
      <c r="F9" s="36">
        <f t="shared" si="0"/>
        <v>0</v>
      </c>
    </row>
    <row r="10" spans="1:6" s="10" customFormat="1" ht="45" x14ac:dyDescent="0.25">
      <c r="A10" s="13">
        <v>5</v>
      </c>
      <c r="B10" s="39" t="s">
        <v>105</v>
      </c>
      <c r="C10" s="21" t="s">
        <v>15</v>
      </c>
      <c r="D10" s="21">
        <f>(13.2+8.4*3)*0.4*0.9</f>
        <v>13.824000000000003</v>
      </c>
      <c r="E10" s="14"/>
      <c r="F10" s="36">
        <f t="shared" si="0"/>
        <v>0</v>
      </c>
    </row>
    <row r="11" spans="1:6" s="10" customFormat="1" ht="105" x14ac:dyDescent="0.25">
      <c r="A11" s="13">
        <v>6</v>
      </c>
      <c r="B11" s="39" t="s">
        <v>106</v>
      </c>
      <c r="C11" s="66" t="s">
        <v>15</v>
      </c>
      <c r="D11" s="21">
        <f>(13.2+8.4*3)*0.4*0.2</f>
        <v>3.072000000000001</v>
      </c>
      <c r="E11" s="40"/>
      <c r="F11" s="36">
        <f t="shared" si="0"/>
        <v>0</v>
      </c>
    </row>
    <row r="12" spans="1:6" s="22" customFormat="1" ht="90" x14ac:dyDescent="0.25">
      <c r="A12" s="33">
        <v>7</v>
      </c>
      <c r="B12" s="70" t="s">
        <v>107</v>
      </c>
      <c r="C12" s="67" t="s">
        <v>15</v>
      </c>
      <c r="D12" s="33">
        <f>(0.7*0.7*0.3)*6</f>
        <v>0.88199999999999978</v>
      </c>
      <c r="E12" s="68"/>
      <c r="F12" s="36">
        <f t="shared" si="0"/>
        <v>0</v>
      </c>
    </row>
    <row r="13" spans="1:6" s="22" customFormat="1" ht="90" x14ac:dyDescent="0.25">
      <c r="A13" s="33">
        <v>8</v>
      </c>
      <c r="B13" s="70" t="s">
        <v>108</v>
      </c>
      <c r="C13" s="32" t="s">
        <v>15</v>
      </c>
      <c r="D13" s="33">
        <f>0.2*0.2*4.3*6</f>
        <v>1.032</v>
      </c>
      <c r="E13" s="103"/>
      <c r="F13" s="36">
        <f t="shared" si="0"/>
        <v>0</v>
      </c>
    </row>
    <row r="14" spans="1:6" s="10" customFormat="1" ht="30" x14ac:dyDescent="0.25">
      <c r="A14" s="13">
        <v>9</v>
      </c>
      <c r="B14" s="39" t="s">
        <v>109</v>
      </c>
      <c r="C14" s="13" t="s">
        <v>15</v>
      </c>
      <c r="D14" s="44">
        <f>8.4*9*0.25</f>
        <v>18.900000000000002</v>
      </c>
      <c r="E14" s="14"/>
      <c r="F14" s="36">
        <f t="shared" si="0"/>
        <v>0</v>
      </c>
    </row>
    <row r="15" spans="1:6" s="10" customFormat="1" x14ac:dyDescent="0.25">
      <c r="A15" s="13">
        <v>10</v>
      </c>
      <c r="B15" s="39" t="s">
        <v>110</v>
      </c>
      <c r="C15" s="13" t="s">
        <v>13</v>
      </c>
      <c r="D15" s="44">
        <f>8.4*9</f>
        <v>75.600000000000009</v>
      </c>
      <c r="E15" s="14"/>
      <c r="F15" s="36">
        <f t="shared" si="0"/>
        <v>0</v>
      </c>
    </row>
    <row r="16" spans="1:6" s="10" customFormat="1" ht="45" x14ac:dyDescent="0.25">
      <c r="A16" s="13">
        <v>11</v>
      </c>
      <c r="B16" s="39" t="s">
        <v>111</v>
      </c>
      <c r="C16" s="21" t="s">
        <v>13</v>
      </c>
      <c r="D16" s="69">
        <f>D15</f>
        <v>75.600000000000009</v>
      </c>
      <c r="E16" s="40"/>
      <c r="F16" s="36">
        <f t="shared" si="0"/>
        <v>0</v>
      </c>
    </row>
    <row r="17" spans="1:6" s="10" customFormat="1" ht="120" x14ac:dyDescent="0.25">
      <c r="A17" s="13">
        <v>12</v>
      </c>
      <c r="B17" s="39" t="s">
        <v>112</v>
      </c>
      <c r="C17" s="13" t="s">
        <v>15</v>
      </c>
      <c r="D17" s="44">
        <f>8.4*9*0.08</f>
        <v>6.0480000000000009</v>
      </c>
      <c r="E17" s="14"/>
      <c r="F17" s="36">
        <f t="shared" si="0"/>
        <v>0</v>
      </c>
    </row>
    <row r="18" spans="1:6" s="22" customFormat="1" ht="45" x14ac:dyDescent="0.25">
      <c r="A18" s="33">
        <v>13</v>
      </c>
      <c r="B18" s="70" t="s">
        <v>113</v>
      </c>
      <c r="C18" s="32" t="s">
        <v>13</v>
      </c>
      <c r="D18" s="32">
        <f>(15+8.4*2)*2.9</f>
        <v>92.22</v>
      </c>
      <c r="E18" s="71"/>
      <c r="F18" s="72">
        <f t="shared" si="0"/>
        <v>0</v>
      </c>
    </row>
    <row r="19" spans="1:6" s="22" customFormat="1" ht="90" x14ac:dyDescent="0.25">
      <c r="A19" s="33">
        <v>14</v>
      </c>
      <c r="B19" s="70" t="s">
        <v>114</v>
      </c>
      <c r="C19" s="32" t="s">
        <v>15</v>
      </c>
      <c r="D19" s="32">
        <f>5*2*0.2*0.15</f>
        <v>0.3</v>
      </c>
      <c r="E19" s="103"/>
      <c r="F19" s="72">
        <f t="shared" si="0"/>
        <v>0</v>
      </c>
    </row>
    <row r="20" spans="1:6" s="10" customFormat="1" ht="90" x14ac:dyDescent="0.25">
      <c r="A20" s="13">
        <v>15</v>
      </c>
      <c r="B20" s="39" t="s">
        <v>115</v>
      </c>
      <c r="C20" s="21" t="s">
        <v>15</v>
      </c>
      <c r="D20" s="21">
        <f>(15+8.4*2)*0.2*0.2</f>
        <v>1.2720000000000002</v>
      </c>
      <c r="E20" s="35"/>
      <c r="F20" s="36">
        <f t="shared" si="0"/>
        <v>0</v>
      </c>
    </row>
    <row r="21" spans="1:6" s="10" customFormat="1" ht="90" x14ac:dyDescent="0.25">
      <c r="A21" s="13">
        <v>16</v>
      </c>
      <c r="B21" s="39" t="s">
        <v>116</v>
      </c>
      <c r="C21" s="13" t="s">
        <v>15</v>
      </c>
      <c r="D21" s="21">
        <f>(15+8.4*2)*0.2*0.2</f>
        <v>1.2720000000000002</v>
      </c>
      <c r="E21" s="14"/>
      <c r="F21" s="36">
        <f t="shared" si="0"/>
        <v>0</v>
      </c>
    </row>
    <row r="22" spans="1:6" s="10" customFormat="1" ht="135" x14ac:dyDescent="0.25">
      <c r="A22" s="13">
        <v>17</v>
      </c>
      <c r="B22" s="39" t="s">
        <v>117</v>
      </c>
      <c r="C22" s="13" t="s">
        <v>13</v>
      </c>
      <c r="D22" s="13">
        <f>9.5*9.6*1.15</f>
        <v>104.88</v>
      </c>
      <c r="E22" s="14"/>
      <c r="F22" s="36">
        <f t="shared" si="0"/>
        <v>0</v>
      </c>
    </row>
    <row r="23" spans="1:6" s="10" customFormat="1" ht="60" x14ac:dyDescent="0.25">
      <c r="A23" s="13">
        <v>18</v>
      </c>
      <c r="B23" s="39" t="s">
        <v>118</v>
      </c>
      <c r="C23" s="13" t="s">
        <v>13</v>
      </c>
      <c r="D23" s="13">
        <f>8*9</f>
        <v>72</v>
      </c>
      <c r="E23" s="14"/>
      <c r="F23" s="36">
        <f t="shared" si="0"/>
        <v>0</v>
      </c>
    </row>
    <row r="24" spans="1:6" s="10" customFormat="1" ht="75" x14ac:dyDescent="0.25">
      <c r="A24" s="13">
        <v>19</v>
      </c>
      <c r="B24" s="39" t="s">
        <v>119</v>
      </c>
      <c r="C24" s="66" t="s">
        <v>16</v>
      </c>
      <c r="D24" s="66">
        <v>1</v>
      </c>
      <c r="E24" s="40"/>
      <c r="F24" s="36">
        <f t="shared" si="0"/>
        <v>0</v>
      </c>
    </row>
    <row r="25" spans="1:6" s="10" customFormat="1" ht="45" x14ac:dyDescent="0.25">
      <c r="A25" s="13">
        <v>20</v>
      </c>
      <c r="B25" s="74" t="s">
        <v>120</v>
      </c>
      <c r="C25" s="38" t="s">
        <v>13</v>
      </c>
      <c r="D25" s="21">
        <f>((15+8.4*2.5)*2.9)</f>
        <v>104.39999999999999</v>
      </c>
      <c r="E25" s="75"/>
      <c r="F25" s="36">
        <f t="shared" si="0"/>
        <v>0</v>
      </c>
    </row>
    <row r="26" spans="1:6" s="10" customFormat="1" ht="45" x14ac:dyDescent="0.25">
      <c r="A26" s="13">
        <v>21</v>
      </c>
      <c r="B26" s="74" t="s">
        <v>121</v>
      </c>
      <c r="C26" s="38" t="s">
        <v>13</v>
      </c>
      <c r="D26" s="21">
        <f>((15+8.4*2.5)*2.9)</f>
        <v>104.39999999999999</v>
      </c>
      <c r="E26" s="75"/>
      <c r="F26" s="36">
        <f t="shared" si="0"/>
        <v>0</v>
      </c>
    </row>
    <row r="27" spans="1:6" s="10" customFormat="1" ht="45" x14ac:dyDescent="0.25">
      <c r="A27" s="13">
        <v>22</v>
      </c>
      <c r="B27" s="74" t="s">
        <v>122</v>
      </c>
      <c r="C27" s="38" t="s">
        <v>13</v>
      </c>
      <c r="D27" s="66">
        <f>D25</f>
        <v>104.39999999999999</v>
      </c>
      <c r="E27" s="75"/>
      <c r="F27" s="36">
        <f t="shared" si="0"/>
        <v>0</v>
      </c>
    </row>
    <row r="28" spans="1:6" s="10" customFormat="1" ht="45" x14ac:dyDescent="0.25">
      <c r="A28" s="13">
        <v>23</v>
      </c>
      <c r="B28" s="74" t="s">
        <v>123</v>
      </c>
      <c r="C28" s="13" t="s">
        <v>13</v>
      </c>
      <c r="D28" s="38">
        <f>D26</f>
        <v>104.39999999999999</v>
      </c>
      <c r="E28" s="75"/>
      <c r="F28" s="36">
        <f t="shared" si="0"/>
        <v>0</v>
      </c>
    </row>
    <row r="29" spans="1:6" s="10" customFormat="1" ht="105" x14ac:dyDescent="0.25">
      <c r="A29" s="13">
        <v>24</v>
      </c>
      <c r="B29" s="104" t="s">
        <v>124</v>
      </c>
      <c r="C29" s="33" t="s">
        <v>2</v>
      </c>
      <c r="D29" s="21">
        <v>1</v>
      </c>
      <c r="E29" s="35"/>
      <c r="F29" s="36">
        <f t="shared" si="0"/>
        <v>0</v>
      </c>
    </row>
    <row r="30" spans="1:6" s="10" customFormat="1" ht="165" x14ac:dyDescent="0.25">
      <c r="A30" s="13">
        <v>25</v>
      </c>
      <c r="B30" s="65" t="s">
        <v>125</v>
      </c>
      <c r="C30" s="33" t="s">
        <v>2</v>
      </c>
      <c r="D30" s="13">
        <v>5</v>
      </c>
      <c r="E30" s="14"/>
      <c r="F30" s="36">
        <f t="shared" si="0"/>
        <v>0</v>
      </c>
    </row>
    <row r="31" spans="1:6" s="10" customFormat="1" ht="75" x14ac:dyDescent="0.25">
      <c r="A31" s="13">
        <v>26</v>
      </c>
      <c r="B31" s="76" t="s">
        <v>53</v>
      </c>
      <c r="C31" s="105" t="s">
        <v>2</v>
      </c>
      <c r="D31" s="33">
        <v>1</v>
      </c>
      <c r="E31" s="71"/>
      <c r="F31" s="36">
        <f t="shared" si="0"/>
        <v>0</v>
      </c>
    </row>
    <row r="32" spans="1:6" s="10" customFormat="1" ht="30" x14ac:dyDescent="0.25">
      <c r="A32" s="13">
        <v>27</v>
      </c>
      <c r="B32" s="76" t="s">
        <v>126</v>
      </c>
      <c r="C32" s="21" t="s">
        <v>19</v>
      </c>
      <c r="D32" s="21">
        <v>1</v>
      </c>
      <c r="E32" s="21"/>
      <c r="F32" s="36">
        <f t="shared" si="0"/>
        <v>0</v>
      </c>
    </row>
    <row r="33" spans="1:6" s="10" customFormat="1" x14ac:dyDescent="0.25">
      <c r="A33" s="77"/>
      <c r="B33" s="502" t="s">
        <v>180</v>
      </c>
      <c r="C33" s="503"/>
      <c r="D33" s="503"/>
      <c r="E33" s="504"/>
      <c r="F33" s="81">
        <f>SUM(F6:F32)</f>
        <v>0</v>
      </c>
    </row>
    <row r="34" spans="1:6" s="10" customFormat="1" x14ac:dyDescent="0.25">
      <c r="A34" s="77"/>
      <c r="B34" s="502" t="s">
        <v>232</v>
      </c>
      <c r="C34" s="503"/>
      <c r="D34" s="503"/>
      <c r="E34" s="504"/>
      <c r="F34" s="81">
        <f>F33*2</f>
        <v>0</v>
      </c>
    </row>
    <row r="35" spans="1:6" s="10" customFormat="1" x14ac:dyDescent="0.25">
      <c r="A35" s="77"/>
      <c r="B35" s="78"/>
      <c r="C35" s="79"/>
      <c r="D35" s="79"/>
      <c r="E35" s="80"/>
      <c r="F35" s="82"/>
    </row>
    <row r="36" spans="1:6" ht="42.75" x14ac:dyDescent="0.25">
      <c r="A36" s="77" t="s">
        <v>27</v>
      </c>
      <c r="B36" s="62" t="s">
        <v>483</v>
      </c>
      <c r="C36" s="34"/>
      <c r="D36" s="34"/>
      <c r="E36" s="34"/>
      <c r="F36" s="82">
        <f t="shared" ref="F36:F41" si="1">D36*E36</f>
        <v>0</v>
      </c>
    </row>
    <row r="37" spans="1:6" ht="60" x14ac:dyDescent="0.25">
      <c r="A37" s="13">
        <v>1</v>
      </c>
      <c r="B37" s="39" t="s">
        <v>275</v>
      </c>
      <c r="C37" s="66" t="s">
        <v>13</v>
      </c>
      <c r="D37" s="66">
        <v>54</v>
      </c>
      <c r="E37" s="66"/>
      <c r="F37" s="64">
        <f t="shared" si="1"/>
        <v>0</v>
      </c>
    </row>
    <row r="38" spans="1:6" ht="60" x14ac:dyDescent="0.25">
      <c r="A38" s="13">
        <v>2</v>
      </c>
      <c r="B38" s="39" t="s">
        <v>276</v>
      </c>
      <c r="C38" s="21" t="s">
        <v>13</v>
      </c>
      <c r="D38" s="21">
        <v>80</v>
      </c>
      <c r="E38" s="21"/>
      <c r="F38" s="64">
        <f t="shared" si="1"/>
        <v>0</v>
      </c>
    </row>
    <row r="39" spans="1:6" ht="60" x14ac:dyDescent="0.25">
      <c r="A39" s="13">
        <v>3</v>
      </c>
      <c r="B39" s="39" t="s">
        <v>481</v>
      </c>
      <c r="C39" s="21" t="s">
        <v>13</v>
      </c>
      <c r="D39" s="21">
        <v>9.5</v>
      </c>
      <c r="E39" s="21"/>
      <c r="F39" s="64"/>
    </row>
    <row r="40" spans="1:6" ht="45" x14ac:dyDescent="0.25">
      <c r="A40" s="13">
        <v>4</v>
      </c>
      <c r="B40" s="39" t="s">
        <v>25</v>
      </c>
      <c r="C40" s="21" t="s">
        <v>2</v>
      </c>
      <c r="D40" s="32">
        <v>2</v>
      </c>
      <c r="E40" s="21"/>
      <c r="F40" s="64">
        <f t="shared" si="1"/>
        <v>0</v>
      </c>
    </row>
    <row r="41" spans="1:6" ht="30" x14ac:dyDescent="0.25">
      <c r="A41" s="13">
        <v>5</v>
      </c>
      <c r="B41" s="39" t="s">
        <v>28</v>
      </c>
      <c r="C41" s="21" t="s">
        <v>16</v>
      </c>
      <c r="D41" s="32">
        <v>1</v>
      </c>
      <c r="E41" s="21"/>
      <c r="F41" s="64">
        <f t="shared" si="1"/>
        <v>0</v>
      </c>
    </row>
    <row r="42" spans="1:6" ht="45" x14ac:dyDescent="0.25">
      <c r="A42" s="13">
        <v>6</v>
      </c>
      <c r="B42" s="39" t="s">
        <v>277</v>
      </c>
      <c r="C42" s="21" t="s">
        <v>2</v>
      </c>
      <c r="D42" s="21">
        <v>2</v>
      </c>
      <c r="E42" s="21"/>
      <c r="F42" s="64">
        <f>D42*E42</f>
        <v>0</v>
      </c>
    </row>
    <row r="43" spans="1:6" ht="30" x14ac:dyDescent="0.25">
      <c r="A43" s="13">
        <v>7</v>
      </c>
      <c r="B43" s="39" t="s">
        <v>278</v>
      </c>
      <c r="C43" s="21" t="s">
        <v>2</v>
      </c>
      <c r="D43" s="21">
        <v>1</v>
      </c>
      <c r="E43" s="21"/>
      <c r="F43" s="64">
        <f>D43*E43</f>
        <v>0</v>
      </c>
    </row>
    <row r="44" spans="1:6" ht="30" x14ac:dyDescent="0.25">
      <c r="A44" s="13">
        <v>8</v>
      </c>
      <c r="B44" s="39" t="s">
        <v>479</v>
      </c>
      <c r="C44" s="120" t="s">
        <v>73</v>
      </c>
      <c r="D44" s="120">
        <v>1</v>
      </c>
      <c r="E44" s="121"/>
      <c r="F44" s="64">
        <f>D44*E44</f>
        <v>0</v>
      </c>
    </row>
    <row r="45" spans="1:6" x14ac:dyDescent="0.25">
      <c r="A45" s="77"/>
      <c r="B45" s="502" t="s">
        <v>482</v>
      </c>
      <c r="C45" s="503"/>
      <c r="D45" s="503"/>
      <c r="E45" s="504"/>
      <c r="F45" s="82">
        <f>SUM(F37:F44)</f>
        <v>0</v>
      </c>
    </row>
    <row r="46" spans="1:6" x14ac:dyDescent="0.25">
      <c r="A46" s="13"/>
      <c r="B46" s="39"/>
      <c r="C46" s="66"/>
      <c r="D46" s="66"/>
      <c r="E46" s="66"/>
      <c r="F46" s="64"/>
    </row>
    <row r="47" spans="1:6" x14ac:dyDescent="0.25">
      <c r="A47" s="77" t="s">
        <v>27</v>
      </c>
      <c r="B47" s="56" t="s">
        <v>54</v>
      </c>
      <c r="C47" s="48"/>
      <c r="D47" s="48"/>
      <c r="E47" s="40"/>
      <c r="F47" s="83"/>
    </row>
    <row r="48" spans="1:6" ht="90" x14ac:dyDescent="0.25">
      <c r="A48" s="13">
        <v>1</v>
      </c>
      <c r="B48" s="45" t="s">
        <v>55</v>
      </c>
      <c r="C48" s="13" t="s">
        <v>52</v>
      </c>
      <c r="D48" s="14">
        <v>1</v>
      </c>
      <c r="E48" s="40"/>
      <c r="F48" s="36">
        <f t="shared" ref="F48" si="2">D48*E48</f>
        <v>0</v>
      </c>
    </row>
    <row r="49" spans="1:6" x14ac:dyDescent="0.25">
      <c r="A49" s="77"/>
      <c r="B49" s="505" t="s">
        <v>56</v>
      </c>
      <c r="C49" s="505"/>
      <c r="D49" s="505"/>
      <c r="E49" s="505"/>
      <c r="F49" s="83">
        <f>SUM(F48)</f>
        <v>0</v>
      </c>
    </row>
    <row r="50" spans="1:6" ht="18.75" x14ac:dyDescent="0.25">
      <c r="A50" s="506" t="s">
        <v>407</v>
      </c>
      <c r="B50" s="507"/>
      <c r="C50" s="507"/>
      <c r="D50" s="507"/>
      <c r="E50" s="507"/>
      <c r="F50" s="508"/>
    </row>
    <row r="51" spans="1:6" x14ac:dyDescent="0.25">
      <c r="A51" s="101" t="s">
        <v>22</v>
      </c>
      <c r="B51" s="62" t="s">
        <v>127</v>
      </c>
      <c r="C51" s="66"/>
      <c r="D51" s="66"/>
      <c r="E51" s="66"/>
      <c r="F51" s="82">
        <f>F34</f>
        <v>0</v>
      </c>
    </row>
    <row r="52" spans="1:6" x14ac:dyDescent="0.25">
      <c r="A52" s="101"/>
      <c r="B52" s="62" t="s">
        <v>484</v>
      </c>
      <c r="C52" s="66"/>
      <c r="D52" s="66"/>
      <c r="E52" s="66"/>
      <c r="F52" s="82">
        <f>F45</f>
        <v>0</v>
      </c>
    </row>
    <row r="53" spans="1:6" x14ac:dyDescent="0.25">
      <c r="A53" s="77" t="s">
        <v>27</v>
      </c>
      <c r="B53" s="364" t="s">
        <v>54</v>
      </c>
      <c r="C53" s="66"/>
      <c r="D53" s="66"/>
      <c r="E53" s="66"/>
      <c r="F53" s="82">
        <f>F49</f>
        <v>0</v>
      </c>
    </row>
    <row r="54" spans="1:6" x14ac:dyDescent="0.25">
      <c r="A54" s="13"/>
      <c r="B54" s="39"/>
      <c r="C54" s="66"/>
      <c r="D54" s="66"/>
      <c r="E54" s="66"/>
      <c r="F54" s="64"/>
    </row>
    <row r="55" spans="1:6" ht="15.75" thickBot="1" x14ac:dyDescent="0.3">
      <c r="A55" s="132"/>
      <c r="B55" s="509" t="s">
        <v>49</v>
      </c>
      <c r="C55" s="510"/>
      <c r="D55" s="510"/>
      <c r="E55" s="511"/>
      <c r="F55" s="133">
        <f>F53+F52+F51</f>
        <v>0</v>
      </c>
    </row>
    <row r="56" spans="1:6" x14ac:dyDescent="0.25">
      <c r="A56" s="87"/>
      <c r="B56" s="88"/>
      <c r="C56" s="89"/>
      <c r="D56" s="89"/>
      <c r="E56" s="89"/>
      <c r="F56" s="126"/>
    </row>
    <row r="57" spans="1:6" ht="15.75" thickBot="1" x14ac:dyDescent="0.3">
      <c r="A57" s="87"/>
      <c r="B57" s="88"/>
      <c r="C57" s="89"/>
      <c r="D57" s="89"/>
      <c r="E57" s="89"/>
      <c r="F57" s="126"/>
    </row>
    <row r="58" spans="1:6" ht="17.45" customHeight="1" x14ac:dyDescent="0.25">
      <c r="A58" s="92"/>
      <c r="B58" s="93" t="s">
        <v>5</v>
      </c>
      <c r="C58" s="518"/>
      <c r="D58" s="519"/>
      <c r="E58" s="519"/>
      <c r="F58" s="520"/>
    </row>
    <row r="59" spans="1:6" ht="17.45" customHeight="1" x14ac:dyDescent="0.25">
      <c r="A59" s="92"/>
      <c r="B59" s="93" t="s">
        <v>6</v>
      </c>
      <c r="C59" s="521"/>
      <c r="D59" s="522"/>
      <c r="E59" s="522"/>
      <c r="F59" s="523"/>
    </row>
    <row r="60" spans="1:6" ht="17.45" customHeight="1" x14ac:dyDescent="0.25">
      <c r="A60" s="92"/>
      <c r="B60" s="93" t="s">
        <v>7</v>
      </c>
      <c r="C60" s="524"/>
      <c r="D60" s="525"/>
      <c r="E60" s="525"/>
      <c r="F60" s="526"/>
    </row>
    <row r="61" spans="1:6" ht="60" customHeight="1" thickBot="1" x14ac:dyDescent="0.3">
      <c r="A61" s="92"/>
      <c r="B61" s="93" t="s">
        <v>8</v>
      </c>
      <c r="C61" s="527"/>
      <c r="D61" s="528"/>
      <c r="E61" s="528"/>
      <c r="F61" s="529"/>
    </row>
    <row r="62" spans="1:6" ht="8.4499999999999993" customHeight="1" x14ac:dyDescent="0.25">
      <c r="A62" s="87"/>
      <c r="B62" s="88"/>
      <c r="C62" s="89"/>
      <c r="D62" s="89"/>
      <c r="E62" s="89"/>
      <c r="F62" s="126"/>
    </row>
  </sheetData>
  <sheetProtection selectLockedCells="1"/>
  <mergeCells count="12">
    <mergeCell ref="C60:F61"/>
    <mergeCell ref="C59:F59"/>
    <mergeCell ref="C58:F58"/>
    <mergeCell ref="B1:F1"/>
    <mergeCell ref="B2:F2"/>
    <mergeCell ref="B3:F3"/>
    <mergeCell ref="B49:E49"/>
    <mergeCell ref="B33:E33"/>
    <mergeCell ref="B34:E34"/>
    <mergeCell ref="A50:F50"/>
    <mergeCell ref="B55:E55"/>
    <mergeCell ref="B45:E45"/>
  </mergeCells>
  <pageMargins left="0.7" right="0.7" top="0.75" bottom="1" header="0.3" footer="0.3"/>
  <pageSetup fitToHeight="0" orientation="portrait" r:id="rId1"/>
  <headerFooter>
    <oddFooter>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515B9B-D9A2-45D3-8C06-399D1B683E97}">
  <sheetPr>
    <tabColor theme="0"/>
  </sheetPr>
  <dimension ref="A1:F65"/>
  <sheetViews>
    <sheetView view="pageBreakPreview" topLeftCell="A44" zoomScale="60" zoomScaleNormal="100" workbookViewId="0">
      <selection activeCell="H5" sqref="H5"/>
    </sheetView>
  </sheetViews>
  <sheetFormatPr defaultRowHeight="15" x14ac:dyDescent="0.25"/>
  <cols>
    <col min="1" max="1" width="10.5703125" bestFit="1" customWidth="1"/>
    <col min="2" max="2" width="44.140625" customWidth="1"/>
    <col min="3" max="3" width="9.5703125" customWidth="1"/>
    <col min="6" max="6" width="12.7109375"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59</v>
      </c>
      <c r="B3" s="512" t="s">
        <v>494</v>
      </c>
      <c r="C3" s="513"/>
      <c r="D3" s="513"/>
      <c r="E3" s="513"/>
      <c r="F3" s="514"/>
    </row>
    <row r="4" spans="1:6" ht="19.5" thickBot="1" x14ac:dyDescent="0.35">
      <c r="A4" s="107" t="s">
        <v>1</v>
      </c>
      <c r="B4" s="512" t="s">
        <v>263</v>
      </c>
      <c r="C4" s="513"/>
      <c r="D4" s="513"/>
      <c r="E4" s="513"/>
      <c r="F4" s="514"/>
    </row>
    <row r="5" spans="1:6" ht="30.75" thickTop="1" x14ac:dyDescent="0.25">
      <c r="A5" s="96" t="s">
        <v>9</v>
      </c>
      <c r="B5" s="97" t="s">
        <v>10</v>
      </c>
      <c r="C5" s="98" t="s">
        <v>3</v>
      </c>
      <c r="D5" s="98" t="s">
        <v>11</v>
      </c>
      <c r="E5" s="99" t="s">
        <v>12</v>
      </c>
      <c r="F5" s="100" t="s">
        <v>4</v>
      </c>
    </row>
    <row r="6" spans="1:6" x14ac:dyDescent="0.25">
      <c r="A6" s="101" t="s">
        <v>22</v>
      </c>
      <c r="B6" s="62" t="s">
        <v>127</v>
      </c>
      <c r="C6" s="102"/>
      <c r="D6" s="102"/>
      <c r="E6" s="102"/>
      <c r="F6" s="64"/>
    </row>
    <row r="7" spans="1:6" ht="75" x14ac:dyDescent="0.25">
      <c r="A7" s="13">
        <v>1</v>
      </c>
      <c r="B7" s="39" t="s">
        <v>309</v>
      </c>
      <c r="C7" s="21" t="s">
        <v>16</v>
      </c>
      <c r="D7" s="21">
        <v>1</v>
      </c>
      <c r="E7" s="35"/>
      <c r="F7" s="36">
        <f>E7*D7</f>
        <v>0</v>
      </c>
    </row>
    <row r="8" spans="1:6" ht="30" x14ac:dyDescent="0.25">
      <c r="A8" s="13">
        <v>2</v>
      </c>
      <c r="B8" s="39" t="s">
        <v>101</v>
      </c>
      <c r="C8" s="21" t="s">
        <v>13</v>
      </c>
      <c r="D8" s="21">
        <f>(10*9)</f>
        <v>90</v>
      </c>
      <c r="E8" s="14"/>
      <c r="F8" s="36">
        <f t="shared" ref="F8:F33" si="0">E8*D8</f>
        <v>0</v>
      </c>
    </row>
    <row r="9" spans="1:6" ht="45" x14ac:dyDescent="0.25">
      <c r="A9" s="13">
        <v>3</v>
      </c>
      <c r="B9" s="39" t="s">
        <v>102</v>
      </c>
      <c r="C9" s="21" t="s">
        <v>103</v>
      </c>
      <c r="D9" s="21">
        <f>(9.6+3.6+8.4*3)*0.5*0.7</f>
        <v>13.440000000000001</v>
      </c>
      <c r="E9" s="14"/>
      <c r="F9" s="36">
        <f t="shared" si="0"/>
        <v>0</v>
      </c>
    </row>
    <row r="10" spans="1:6" ht="30" x14ac:dyDescent="0.25">
      <c r="A10" s="13">
        <v>4</v>
      </c>
      <c r="B10" s="39" t="s">
        <v>104</v>
      </c>
      <c r="C10" s="21" t="s">
        <v>13</v>
      </c>
      <c r="D10" s="21">
        <f>(13.2+8.4*3)*0.5*0.05</f>
        <v>0.96000000000000019</v>
      </c>
      <c r="E10" s="14"/>
      <c r="F10" s="36">
        <f t="shared" si="0"/>
        <v>0</v>
      </c>
    </row>
    <row r="11" spans="1:6" ht="30" x14ac:dyDescent="0.25">
      <c r="A11" s="13">
        <v>5</v>
      </c>
      <c r="B11" s="39" t="s">
        <v>105</v>
      </c>
      <c r="C11" s="21" t="s">
        <v>15</v>
      </c>
      <c r="D11" s="21">
        <f>(13.2+8.4*3)*0.4*0.9</f>
        <v>13.824000000000003</v>
      </c>
      <c r="E11" s="14"/>
      <c r="F11" s="36">
        <f t="shared" si="0"/>
        <v>0</v>
      </c>
    </row>
    <row r="12" spans="1:6" ht="75" x14ac:dyDescent="0.25">
      <c r="A12" s="13">
        <v>6</v>
      </c>
      <c r="B12" s="39" t="s">
        <v>106</v>
      </c>
      <c r="C12" s="66" t="s">
        <v>15</v>
      </c>
      <c r="D12" s="21">
        <f>(13.2+8.4*3)*0.4*0.2</f>
        <v>3.072000000000001</v>
      </c>
      <c r="E12" s="40"/>
      <c r="F12" s="36">
        <f t="shared" si="0"/>
        <v>0</v>
      </c>
    </row>
    <row r="13" spans="1:6" ht="75" x14ac:dyDescent="0.25">
      <c r="A13" s="33">
        <v>7</v>
      </c>
      <c r="B13" s="70" t="s">
        <v>107</v>
      </c>
      <c r="C13" s="67" t="s">
        <v>15</v>
      </c>
      <c r="D13" s="33">
        <f>(0.7*0.7*0.3)*6</f>
        <v>0.88199999999999978</v>
      </c>
      <c r="E13" s="68"/>
      <c r="F13" s="36">
        <f t="shared" si="0"/>
        <v>0</v>
      </c>
    </row>
    <row r="14" spans="1:6" ht="75" x14ac:dyDescent="0.25">
      <c r="A14" s="33">
        <v>8</v>
      </c>
      <c r="B14" s="70" t="s">
        <v>108</v>
      </c>
      <c r="C14" s="32" t="s">
        <v>15</v>
      </c>
      <c r="D14" s="33">
        <f>0.2*0.2*4.3*6</f>
        <v>1.032</v>
      </c>
      <c r="E14" s="103"/>
      <c r="F14" s="36">
        <f t="shared" si="0"/>
        <v>0</v>
      </c>
    </row>
    <row r="15" spans="1:6" ht="30" x14ac:dyDescent="0.25">
      <c r="A15" s="13">
        <v>9</v>
      </c>
      <c r="B15" s="39" t="s">
        <v>109</v>
      </c>
      <c r="C15" s="13" t="s">
        <v>15</v>
      </c>
      <c r="D15" s="44">
        <f>8.4*9*0.25</f>
        <v>18.900000000000002</v>
      </c>
      <c r="E15" s="14"/>
      <c r="F15" s="36">
        <f t="shared" si="0"/>
        <v>0</v>
      </c>
    </row>
    <row r="16" spans="1:6" x14ac:dyDescent="0.25">
      <c r="A16" s="13">
        <v>10</v>
      </c>
      <c r="B16" s="39" t="s">
        <v>110</v>
      </c>
      <c r="C16" s="13" t="s">
        <v>13</v>
      </c>
      <c r="D16" s="44">
        <f>8.4*9</f>
        <v>75.600000000000009</v>
      </c>
      <c r="E16" s="14"/>
      <c r="F16" s="36">
        <f t="shared" si="0"/>
        <v>0</v>
      </c>
    </row>
    <row r="17" spans="1:6" ht="30" x14ac:dyDescent="0.25">
      <c r="A17" s="13">
        <v>11</v>
      </c>
      <c r="B17" s="39" t="s">
        <v>111</v>
      </c>
      <c r="C17" s="21" t="s">
        <v>13</v>
      </c>
      <c r="D17" s="69">
        <f>D16</f>
        <v>75.600000000000009</v>
      </c>
      <c r="E17" s="40"/>
      <c r="F17" s="36">
        <f t="shared" si="0"/>
        <v>0</v>
      </c>
    </row>
    <row r="18" spans="1:6" ht="90" x14ac:dyDescent="0.25">
      <c r="A18" s="13">
        <v>12</v>
      </c>
      <c r="B18" s="39" t="s">
        <v>112</v>
      </c>
      <c r="C18" s="13" t="s">
        <v>15</v>
      </c>
      <c r="D18" s="44">
        <f>8.4*9*0.08</f>
        <v>6.0480000000000009</v>
      </c>
      <c r="E18" s="14"/>
      <c r="F18" s="36">
        <f t="shared" si="0"/>
        <v>0</v>
      </c>
    </row>
    <row r="19" spans="1:6" ht="30" x14ac:dyDescent="0.25">
      <c r="A19" s="33">
        <v>13</v>
      </c>
      <c r="B19" s="70" t="s">
        <v>113</v>
      </c>
      <c r="C19" s="32" t="s">
        <v>13</v>
      </c>
      <c r="D19" s="32">
        <f>(15+8.4*2)*2.9</f>
        <v>92.22</v>
      </c>
      <c r="E19" s="71"/>
      <c r="F19" s="72">
        <f t="shared" si="0"/>
        <v>0</v>
      </c>
    </row>
    <row r="20" spans="1:6" ht="75" x14ac:dyDescent="0.25">
      <c r="A20" s="33">
        <v>14</v>
      </c>
      <c r="B20" s="70" t="s">
        <v>114</v>
      </c>
      <c r="C20" s="32" t="s">
        <v>15</v>
      </c>
      <c r="D20" s="32">
        <f>5*2*0.2*0.15</f>
        <v>0.3</v>
      </c>
      <c r="E20" s="103"/>
      <c r="F20" s="72">
        <f t="shared" si="0"/>
        <v>0</v>
      </c>
    </row>
    <row r="21" spans="1:6" ht="75" x14ac:dyDescent="0.25">
      <c r="A21" s="13">
        <v>15</v>
      </c>
      <c r="B21" s="39" t="s">
        <v>115</v>
      </c>
      <c r="C21" s="21" t="s">
        <v>15</v>
      </c>
      <c r="D21" s="21">
        <f>(15+8.4*2)*0.2*0.2</f>
        <v>1.2720000000000002</v>
      </c>
      <c r="E21" s="35"/>
      <c r="F21" s="36">
        <f t="shared" si="0"/>
        <v>0</v>
      </c>
    </row>
    <row r="22" spans="1:6" ht="75" x14ac:dyDescent="0.25">
      <c r="A22" s="13">
        <v>16</v>
      </c>
      <c r="B22" s="39" t="s">
        <v>116</v>
      </c>
      <c r="C22" s="13" t="s">
        <v>15</v>
      </c>
      <c r="D22" s="21">
        <f>(15+8.4*2)*0.2*0.2</f>
        <v>1.2720000000000002</v>
      </c>
      <c r="E22" s="14"/>
      <c r="F22" s="36">
        <f t="shared" si="0"/>
        <v>0</v>
      </c>
    </row>
    <row r="23" spans="1:6" ht="105" x14ac:dyDescent="0.25">
      <c r="A23" s="13">
        <v>17</v>
      </c>
      <c r="B23" s="39" t="s">
        <v>117</v>
      </c>
      <c r="C23" s="13" t="s">
        <v>13</v>
      </c>
      <c r="D23" s="13">
        <f>9.5*9.6*1.15</f>
        <v>104.88</v>
      </c>
      <c r="E23" s="14"/>
      <c r="F23" s="36">
        <f t="shared" si="0"/>
        <v>0</v>
      </c>
    </row>
    <row r="24" spans="1:6" ht="45" x14ac:dyDescent="0.25">
      <c r="A24" s="13">
        <v>18</v>
      </c>
      <c r="B24" s="39" t="s">
        <v>118</v>
      </c>
      <c r="C24" s="13" t="s">
        <v>13</v>
      </c>
      <c r="D24" s="13">
        <f>8*9</f>
        <v>72</v>
      </c>
      <c r="E24" s="14"/>
      <c r="F24" s="36">
        <f t="shared" si="0"/>
        <v>0</v>
      </c>
    </row>
    <row r="25" spans="1:6" ht="60" x14ac:dyDescent="0.25">
      <c r="A25" s="13">
        <v>19</v>
      </c>
      <c r="B25" s="39" t="s">
        <v>119</v>
      </c>
      <c r="C25" s="66" t="s">
        <v>16</v>
      </c>
      <c r="D25" s="66">
        <v>1</v>
      </c>
      <c r="E25" s="40"/>
      <c r="F25" s="36">
        <f t="shared" si="0"/>
        <v>0</v>
      </c>
    </row>
    <row r="26" spans="1:6" ht="30" x14ac:dyDescent="0.25">
      <c r="A26" s="13">
        <v>20</v>
      </c>
      <c r="B26" s="74" t="s">
        <v>120</v>
      </c>
      <c r="C26" s="38" t="s">
        <v>13</v>
      </c>
      <c r="D26" s="21">
        <f>((15+8.4*2.5)*2.9)</f>
        <v>104.39999999999999</v>
      </c>
      <c r="E26" s="75"/>
      <c r="F26" s="36">
        <f t="shared" si="0"/>
        <v>0</v>
      </c>
    </row>
    <row r="27" spans="1:6" ht="30" x14ac:dyDescent="0.25">
      <c r="A27" s="13">
        <v>21</v>
      </c>
      <c r="B27" s="74" t="s">
        <v>121</v>
      </c>
      <c r="C27" s="38" t="s">
        <v>13</v>
      </c>
      <c r="D27" s="21">
        <f>((15+8.4*2.5)*2.9)</f>
        <v>104.39999999999999</v>
      </c>
      <c r="E27" s="75"/>
      <c r="F27" s="36">
        <f t="shared" si="0"/>
        <v>0</v>
      </c>
    </row>
    <row r="28" spans="1:6" ht="30" x14ac:dyDescent="0.25">
      <c r="A28" s="13">
        <v>22</v>
      </c>
      <c r="B28" s="74" t="s">
        <v>122</v>
      </c>
      <c r="C28" s="38" t="s">
        <v>13</v>
      </c>
      <c r="D28" s="66">
        <f>D26</f>
        <v>104.39999999999999</v>
      </c>
      <c r="E28" s="75"/>
      <c r="F28" s="36">
        <f t="shared" si="0"/>
        <v>0</v>
      </c>
    </row>
    <row r="29" spans="1:6" ht="30" x14ac:dyDescent="0.25">
      <c r="A29" s="13">
        <v>23</v>
      </c>
      <c r="B29" s="74" t="s">
        <v>123</v>
      </c>
      <c r="C29" s="13" t="s">
        <v>13</v>
      </c>
      <c r="D29" s="38">
        <f>D27</f>
        <v>104.39999999999999</v>
      </c>
      <c r="E29" s="75"/>
      <c r="F29" s="36">
        <f t="shared" si="0"/>
        <v>0</v>
      </c>
    </row>
    <row r="30" spans="1:6" ht="90" x14ac:dyDescent="0.25">
      <c r="A30" s="13">
        <v>24</v>
      </c>
      <c r="B30" s="104" t="s">
        <v>124</v>
      </c>
      <c r="C30" s="33" t="s">
        <v>2</v>
      </c>
      <c r="D30" s="21">
        <v>1</v>
      </c>
      <c r="E30" s="35"/>
      <c r="F30" s="36">
        <f t="shared" si="0"/>
        <v>0</v>
      </c>
    </row>
    <row r="31" spans="1:6" ht="135" x14ac:dyDescent="0.25">
      <c r="A31" s="13">
        <v>25</v>
      </c>
      <c r="B31" s="65" t="s">
        <v>125</v>
      </c>
      <c r="C31" s="33" t="s">
        <v>2</v>
      </c>
      <c r="D31" s="13">
        <v>5</v>
      </c>
      <c r="E31" s="14"/>
      <c r="F31" s="36">
        <f t="shared" si="0"/>
        <v>0</v>
      </c>
    </row>
    <row r="32" spans="1:6" ht="60" x14ac:dyDescent="0.25">
      <c r="A32" s="13">
        <v>26</v>
      </c>
      <c r="B32" s="76" t="s">
        <v>53</v>
      </c>
      <c r="C32" s="105" t="s">
        <v>2</v>
      </c>
      <c r="D32" s="33">
        <v>1</v>
      </c>
      <c r="E32" s="71"/>
      <c r="F32" s="36">
        <f t="shared" si="0"/>
        <v>0</v>
      </c>
    </row>
    <row r="33" spans="1:6" ht="30" x14ac:dyDescent="0.25">
      <c r="A33" s="13">
        <v>27</v>
      </c>
      <c r="B33" s="76" t="s">
        <v>126</v>
      </c>
      <c r="C33" s="21" t="s">
        <v>19</v>
      </c>
      <c r="D33" s="21">
        <v>1</v>
      </c>
      <c r="E33" s="21"/>
      <c r="F33" s="36">
        <f t="shared" si="0"/>
        <v>0</v>
      </c>
    </row>
    <row r="34" spans="1:6" x14ac:dyDescent="0.25">
      <c r="A34" s="77"/>
      <c r="B34" s="502" t="s">
        <v>180</v>
      </c>
      <c r="C34" s="503"/>
      <c r="D34" s="503"/>
      <c r="E34" s="504"/>
      <c r="F34" s="81">
        <f>SUM(F7:F33)</f>
        <v>0</v>
      </c>
    </row>
    <row r="35" spans="1:6" x14ac:dyDescent="0.25">
      <c r="A35" s="77"/>
      <c r="B35" s="502" t="s">
        <v>406</v>
      </c>
      <c r="C35" s="503"/>
      <c r="D35" s="503"/>
      <c r="E35" s="504"/>
      <c r="F35" s="81">
        <f>F34*2</f>
        <v>0</v>
      </c>
    </row>
    <row r="36" spans="1:6" x14ac:dyDescent="0.25">
      <c r="A36" s="77"/>
      <c r="B36" s="78"/>
      <c r="C36" s="79"/>
      <c r="D36" s="79"/>
      <c r="E36" s="80"/>
      <c r="F36" s="82"/>
    </row>
    <row r="37" spans="1:6" ht="42.75" x14ac:dyDescent="0.25">
      <c r="A37" s="77" t="s">
        <v>27</v>
      </c>
      <c r="B37" s="78" t="s">
        <v>478</v>
      </c>
      <c r="C37" s="79"/>
      <c r="D37" s="79"/>
      <c r="E37" s="80"/>
      <c r="F37" s="82">
        <v>0</v>
      </c>
    </row>
    <row r="38" spans="1:6" ht="45" x14ac:dyDescent="0.25">
      <c r="A38" s="388">
        <v>1</v>
      </c>
      <c r="B38" s="122" t="s">
        <v>275</v>
      </c>
      <c r="C38" s="389" t="s">
        <v>13</v>
      </c>
      <c r="D38" s="389">
        <v>92</v>
      </c>
      <c r="E38" s="390"/>
      <c r="F38" s="134">
        <v>0</v>
      </c>
    </row>
    <row r="39" spans="1:6" ht="45" x14ac:dyDescent="0.25">
      <c r="A39" s="388">
        <v>2</v>
      </c>
      <c r="B39" s="122" t="s">
        <v>276</v>
      </c>
      <c r="C39" s="389" t="s">
        <v>13</v>
      </c>
      <c r="D39" s="389">
        <v>110.2</v>
      </c>
      <c r="E39" s="390"/>
      <c r="F39" s="134">
        <v>0</v>
      </c>
    </row>
    <row r="40" spans="1:6" ht="45" x14ac:dyDescent="0.25">
      <c r="A40" s="388">
        <v>3</v>
      </c>
      <c r="B40" s="122" t="s">
        <v>481</v>
      </c>
      <c r="C40" s="389" t="s">
        <v>13</v>
      </c>
      <c r="D40" s="389">
        <v>17</v>
      </c>
      <c r="E40" s="390"/>
      <c r="F40" s="134"/>
    </row>
    <row r="41" spans="1:6" ht="30" x14ac:dyDescent="0.25">
      <c r="A41" s="388">
        <v>4</v>
      </c>
      <c r="B41" s="122" t="s">
        <v>25</v>
      </c>
      <c r="C41" s="389" t="s">
        <v>2</v>
      </c>
      <c r="D41" s="389">
        <v>4</v>
      </c>
      <c r="E41" s="390"/>
      <c r="F41" s="134">
        <v>0</v>
      </c>
    </row>
    <row r="42" spans="1:6" ht="30" x14ac:dyDescent="0.25">
      <c r="A42" s="388">
        <v>5</v>
      </c>
      <c r="B42" s="122" t="s">
        <v>28</v>
      </c>
      <c r="C42" s="389" t="s">
        <v>16</v>
      </c>
      <c r="D42" s="389">
        <v>1</v>
      </c>
      <c r="E42" s="390"/>
      <c r="F42" s="134">
        <v>0</v>
      </c>
    </row>
    <row r="43" spans="1:6" ht="30" x14ac:dyDescent="0.25">
      <c r="A43" s="388">
        <v>6</v>
      </c>
      <c r="B43" s="122" t="s">
        <v>277</v>
      </c>
      <c r="C43" s="389" t="s">
        <v>2</v>
      </c>
      <c r="D43" s="389">
        <v>4</v>
      </c>
      <c r="E43" s="390"/>
      <c r="F43" s="134">
        <v>0</v>
      </c>
    </row>
    <row r="44" spans="1:6" ht="30" x14ac:dyDescent="0.25">
      <c r="A44" s="388">
        <v>7</v>
      </c>
      <c r="B44" s="122" t="s">
        <v>278</v>
      </c>
      <c r="C44" s="389" t="s">
        <v>2</v>
      </c>
      <c r="D44" s="389">
        <v>4</v>
      </c>
      <c r="E44" s="390"/>
      <c r="F44" s="134">
        <v>0</v>
      </c>
    </row>
    <row r="45" spans="1:6" ht="30" x14ac:dyDescent="0.25">
      <c r="A45" s="388">
        <v>8</v>
      </c>
      <c r="B45" s="122" t="s">
        <v>479</v>
      </c>
      <c r="C45" s="389" t="s">
        <v>73</v>
      </c>
      <c r="D45" s="389">
        <v>1</v>
      </c>
      <c r="E45" s="390"/>
      <c r="F45" s="134">
        <v>0</v>
      </c>
    </row>
    <row r="46" spans="1:6" x14ac:dyDescent="0.25">
      <c r="A46" s="388"/>
      <c r="B46" s="391" t="s">
        <v>480</v>
      </c>
      <c r="C46" s="389"/>
      <c r="D46" s="389"/>
      <c r="E46" s="390"/>
      <c r="F46" s="134">
        <v>0</v>
      </c>
    </row>
    <row r="47" spans="1:6" x14ac:dyDescent="0.25">
      <c r="A47" s="13"/>
      <c r="B47" s="39"/>
      <c r="C47" s="66"/>
      <c r="D47" s="66"/>
      <c r="E47" s="66"/>
      <c r="F47" s="64"/>
    </row>
    <row r="48" spans="1:6" x14ac:dyDescent="0.25">
      <c r="A48" s="77" t="s">
        <v>27</v>
      </c>
      <c r="B48" s="56" t="s">
        <v>54</v>
      </c>
      <c r="C48" s="48"/>
      <c r="D48" s="48"/>
      <c r="E48" s="40"/>
      <c r="F48" s="83"/>
    </row>
    <row r="49" spans="1:6" ht="75" x14ac:dyDescent="0.25">
      <c r="A49" s="13">
        <v>1</v>
      </c>
      <c r="B49" s="45" t="s">
        <v>55</v>
      </c>
      <c r="C49" s="13" t="s">
        <v>52</v>
      </c>
      <c r="D49" s="14">
        <v>1</v>
      </c>
      <c r="E49" s="40"/>
      <c r="F49" s="36">
        <f t="shared" ref="F49" si="1">D49*E49</f>
        <v>0</v>
      </c>
    </row>
    <row r="50" spans="1:6" x14ac:dyDescent="0.25">
      <c r="A50" s="77"/>
      <c r="B50" s="505" t="s">
        <v>56</v>
      </c>
      <c r="C50" s="505"/>
      <c r="D50" s="505"/>
      <c r="E50" s="505"/>
      <c r="F50" s="83">
        <f>SUM(F49)</f>
        <v>0</v>
      </c>
    </row>
    <row r="51" spans="1:6" ht="18.75" x14ac:dyDescent="0.25">
      <c r="A51" s="506" t="s">
        <v>407</v>
      </c>
      <c r="B51" s="507"/>
      <c r="C51" s="507"/>
      <c r="D51" s="507"/>
      <c r="E51" s="507"/>
      <c r="F51" s="508"/>
    </row>
    <row r="52" spans="1:6" x14ac:dyDescent="0.25">
      <c r="A52" s="101" t="s">
        <v>22</v>
      </c>
      <c r="B52" s="62" t="s">
        <v>127</v>
      </c>
      <c r="C52" s="66"/>
      <c r="D52" s="66"/>
      <c r="E52" s="66"/>
      <c r="F52" s="82">
        <f>F35</f>
        <v>0</v>
      </c>
    </row>
    <row r="53" spans="1:6" ht="45" customHeight="1" x14ac:dyDescent="0.25">
      <c r="A53" s="101" t="s">
        <v>24</v>
      </c>
      <c r="B53" s="62" t="s">
        <v>478</v>
      </c>
      <c r="C53" s="66"/>
      <c r="D53" s="66"/>
      <c r="E53" s="66"/>
      <c r="F53" s="82">
        <f>F46</f>
        <v>0</v>
      </c>
    </row>
    <row r="54" spans="1:6" x14ac:dyDescent="0.25">
      <c r="A54" s="77" t="s">
        <v>27</v>
      </c>
      <c r="B54" s="364" t="s">
        <v>54</v>
      </c>
      <c r="C54" s="66"/>
      <c r="D54" s="66"/>
      <c r="E54" s="66"/>
      <c r="F54" s="82">
        <f>F49</f>
        <v>0</v>
      </c>
    </row>
    <row r="55" spans="1:6" x14ac:dyDescent="0.25">
      <c r="A55" s="13"/>
      <c r="B55" s="39"/>
      <c r="C55" s="66"/>
      <c r="D55" s="66"/>
      <c r="E55" s="66"/>
      <c r="F55" s="64"/>
    </row>
    <row r="56" spans="1:6" ht="15.75" thickBot="1" x14ac:dyDescent="0.3">
      <c r="A56" s="132"/>
      <c r="B56" s="509" t="s">
        <v>49</v>
      </c>
      <c r="C56" s="510"/>
      <c r="D56" s="510"/>
      <c r="E56" s="511"/>
      <c r="F56" s="133">
        <f>F54+F52</f>
        <v>0</v>
      </c>
    </row>
    <row r="57" spans="1:6" x14ac:dyDescent="0.25">
      <c r="A57" s="13"/>
      <c r="B57" s="39"/>
      <c r="C57" s="66"/>
      <c r="D57" s="66"/>
      <c r="E57" s="40"/>
      <c r="F57" s="135"/>
    </row>
    <row r="58" spans="1:6" ht="15.75" thickBot="1" x14ac:dyDescent="0.3">
      <c r="A58" s="132"/>
      <c r="B58" s="509"/>
      <c r="C58" s="510"/>
      <c r="D58" s="510"/>
      <c r="E58" s="511"/>
      <c r="F58" s="136"/>
    </row>
    <row r="59" spans="1:6" x14ac:dyDescent="0.25">
      <c r="A59" s="87"/>
      <c r="B59" s="88"/>
      <c r="C59" s="89"/>
      <c r="D59" s="89"/>
      <c r="E59" s="90"/>
      <c r="F59" s="91"/>
    </row>
    <row r="60" spans="1:6" ht="15.75" thickBot="1" x14ac:dyDescent="0.3">
      <c r="A60" s="87"/>
      <c r="B60" s="88"/>
      <c r="C60" s="89"/>
      <c r="D60" s="89"/>
      <c r="E60" s="90"/>
      <c r="F60" s="91"/>
    </row>
    <row r="61" spans="1:6" x14ac:dyDescent="0.25">
      <c r="A61" s="92"/>
      <c r="B61" s="93" t="str">
        <f>Farjano!B62</f>
        <v xml:space="preserve">Company: </v>
      </c>
      <c r="C61" s="518"/>
      <c r="D61" s="519"/>
      <c r="E61" s="519"/>
      <c r="F61" s="520"/>
    </row>
    <row r="62" spans="1:6" x14ac:dyDescent="0.25">
      <c r="A62" s="92"/>
      <c r="B62" s="93" t="str">
        <f>Farjano!B63</f>
        <v>Representative:</v>
      </c>
      <c r="C62" s="521"/>
      <c r="D62" s="522"/>
      <c r="E62" s="522"/>
      <c r="F62" s="523"/>
    </row>
    <row r="63" spans="1:6" x14ac:dyDescent="0.25">
      <c r="A63" s="92"/>
      <c r="B63" s="93" t="str">
        <f>Farjano!B64</f>
        <v>Signature:</v>
      </c>
      <c r="C63" s="524"/>
      <c r="D63" s="525"/>
      <c r="E63" s="525"/>
      <c r="F63" s="526"/>
    </row>
    <row r="64" spans="1:6" ht="15.75" thickBot="1" x14ac:dyDescent="0.3">
      <c r="A64" s="92"/>
      <c r="B64" s="93" t="str">
        <f>Farjano!B65</f>
        <v>Stamp:</v>
      </c>
      <c r="C64" s="527"/>
      <c r="D64" s="528"/>
      <c r="E64" s="528"/>
      <c r="F64" s="529"/>
    </row>
    <row r="65" spans="1:6" x14ac:dyDescent="0.25">
      <c r="A65" s="87"/>
      <c r="B65" s="88"/>
      <c r="C65" s="89"/>
      <c r="D65" s="89"/>
      <c r="E65" s="90"/>
      <c r="F65" s="91"/>
    </row>
  </sheetData>
  <mergeCells count="12">
    <mergeCell ref="C63:F64"/>
    <mergeCell ref="B34:E34"/>
    <mergeCell ref="B2:F2"/>
    <mergeCell ref="B3:F3"/>
    <mergeCell ref="B4:F4"/>
    <mergeCell ref="B35:E35"/>
    <mergeCell ref="B50:E50"/>
    <mergeCell ref="B56:E56"/>
    <mergeCell ref="B58:E58"/>
    <mergeCell ref="C61:F61"/>
    <mergeCell ref="C62:F62"/>
    <mergeCell ref="A51:F51"/>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DE70-F49D-4E6B-8631-F6C628F01A07}">
  <dimension ref="A1:E18"/>
  <sheetViews>
    <sheetView view="pageBreakPreview" topLeftCell="A3" zoomScale="60" zoomScaleNormal="100" workbookViewId="0">
      <selection activeCell="A6" sqref="A6:A11"/>
    </sheetView>
  </sheetViews>
  <sheetFormatPr defaultRowHeight="15" x14ac:dyDescent="0.25"/>
  <cols>
    <col min="1" max="1" width="13.42578125" customWidth="1"/>
    <col min="2" max="2" width="48.85546875" customWidth="1"/>
    <col min="3" max="3" width="21.5703125" customWidth="1"/>
    <col min="5" max="6" width="12.140625" bestFit="1" customWidth="1"/>
    <col min="7" max="7" width="10.85546875" bestFit="1" customWidth="1"/>
  </cols>
  <sheetData>
    <row r="1" spans="1:5" ht="15.75" thickBot="1" x14ac:dyDescent="0.3"/>
    <row r="2" spans="1:5" ht="41.45" customHeight="1" thickBot="1" x14ac:dyDescent="0.55000000000000004">
      <c r="A2" s="365" t="s">
        <v>485</v>
      </c>
      <c r="B2" s="366"/>
      <c r="C2" s="367"/>
    </row>
    <row r="3" spans="1:5" ht="54" customHeight="1" thickBot="1" x14ac:dyDescent="0.5">
      <c r="A3" s="368" t="s">
        <v>408</v>
      </c>
      <c r="B3" s="558" t="s">
        <v>487</v>
      </c>
      <c r="C3" s="559"/>
    </row>
    <row r="4" spans="1:5" ht="22.5" thickBot="1" x14ac:dyDescent="0.5">
      <c r="A4" s="369" t="s">
        <v>0</v>
      </c>
      <c r="B4" s="560" t="s">
        <v>57</v>
      </c>
      <c r="C4" s="561"/>
    </row>
    <row r="5" spans="1:5" ht="21.75" x14ac:dyDescent="0.45">
      <c r="A5" s="370" t="s">
        <v>1</v>
      </c>
      <c r="B5" s="562" t="s">
        <v>263</v>
      </c>
      <c r="C5" s="563"/>
    </row>
    <row r="6" spans="1:5" ht="19.5" x14ac:dyDescent="0.25">
      <c r="A6" s="371">
        <v>1</v>
      </c>
      <c r="B6" s="371" t="s">
        <v>235</v>
      </c>
      <c r="C6" s="372">
        <f>'Rugta '!F46</f>
        <v>0</v>
      </c>
      <c r="E6" s="12"/>
    </row>
    <row r="7" spans="1:5" ht="19.5" x14ac:dyDescent="0.25">
      <c r="A7" s="371">
        <v>2</v>
      </c>
      <c r="B7" s="392" t="s">
        <v>145</v>
      </c>
      <c r="C7" s="372">
        <f>Farjano!F57</f>
        <v>0</v>
      </c>
      <c r="E7" s="12"/>
    </row>
    <row r="8" spans="1:5" ht="19.5" x14ac:dyDescent="0.25">
      <c r="A8" s="371">
        <v>3</v>
      </c>
      <c r="B8" s="392" t="s">
        <v>255</v>
      </c>
      <c r="C8" s="372">
        <f>Ganaane!F51</f>
        <v>0</v>
      </c>
      <c r="E8" s="12"/>
    </row>
    <row r="9" spans="1:5" ht="19.5" x14ac:dyDescent="0.25">
      <c r="A9" s="371">
        <v>4</v>
      </c>
      <c r="B9" s="371" t="s">
        <v>262</v>
      </c>
      <c r="C9" s="372">
        <f>'Ex-Minriino'!F46</f>
        <v>0</v>
      </c>
      <c r="D9" s="12"/>
    </row>
    <row r="10" spans="1:5" ht="19.5" x14ac:dyDescent="0.25">
      <c r="A10" s="371">
        <v>5</v>
      </c>
      <c r="B10" s="371" t="s">
        <v>239</v>
      </c>
      <c r="C10" s="372">
        <f>'New Wamo '!F55</f>
        <v>0</v>
      </c>
      <c r="D10" s="12"/>
    </row>
    <row r="11" spans="1:5" ht="19.5" x14ac:dyDescent="0.25">
      <c r="A11" s="371">
        <v>6</v>
      </c>
      <c r="B11" s="371" t="s">
        <v>242</v>
      </c>
      <c r="C11" s="372">
        <f>'Wamo st'!F56</f>
        <v>0</v>
      </c>
      <c r="D11" s="12"/>
    </row>
    <row r="12" spans="1:5" ht="19.5" x14ac:dyDescent="0.25">
      <c r="A12" s="557" t="s">
        <v>486</v>
      </c>
      <c r="B12" s="557"/>
      <c r="C12" s="373">
        <f>C11+C10+C9+C8+C7+C6</f>
        <v>0</v>
      </c>
      <c r="D12" s="12"/>
    </row>
    <row r="13" spans="1:5" x14ac:dyDescent="0.25">
      <c r="A13" s="87"/>
      <c r="B13" s="88"/>
      <c r="C13" s="89"/>
    </row>
    <row r="14" spans="1:5" x14ac:dyDescent="0.25">
      <c r="A14" s="387" t="s">
        <v>5</v>
      </c>
      <c r="B14" s="551"/>
      <c r="C14" s="552"/>
    </row>
    <row r="15" spans="1:5" ht="30" x14ac:dyDescent="0.25">
      <c r="A15" s="387" t="s">
        <v>6</v>
      </c>
      <c r="B15" s="551"/>
      <c r="C15" s="552"/>
    </row>
    <row r="16" spans="1:5" x14ac:dyDescent="0.25">
      <c r="A16" s="387" t="s">
        <v>472</v>
      </c>
      <c r="B16" s="551"/>
      <c r="C16" s="552"/>
    </row>
    <row r="17" spans="1:3" x14ac:dyDescent="0.25">
      <c r="A17" s="387" t="s">
        <v>7</v>
      </c>
      <c r="B17" s="553"/>
      <c r="C17" s="554"/>
    </row>
    <row r="18" spans="1:3" x14ac:dyDescent="0.25">
      <c r="A18" s="387" t="s">
        <v>8</v>
      </c>
      <c r="B18" s="555"/>
      <c r="C18" s="556"/>
    </row>
  </sheetData>
  <mergeCells count="8">
    <mergeCell ref="B15:C15"/>
    <mergeCell ref="B16:C16"/>
    <mergeCell ref="B17:C18"/>
    <mergeCell ref="A12:B12"/>
    <mergeCell ref="B3:C3"/>
    <mergeCell ref="B4:C4"/>
    <mergeCell ref="B5:C5"/>
    <mergeCell ref="B14:C14"/>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25248-CD09-4C34-9A57-3DD658AC572F}">
  <dimension ref="A1:F9"/>
  <sheetViews>
    <sheetView zoomScaleNormal="100" workbookViewId="0">
      <selection activeCell="A4" sqref="A4:A9"/>
    </sheetView>
  </sheetViews>
  <sheetFormatPr defaultRowHeight="15" x14ac:dyDescent="0.25"/>
  <cols>
    <col min="1" max="1" width="12.42578125" customWidth="1"/>
    <col min="2" max="2" width="26.85546875" customWidth="1"/>
    <col min="3" max="3" width="27" customWidth="1"/>
  </cols>
  <sheetData>
    <row r="1" spans="1:6" ht="22.5" thickBot="1" x14ac:dyDescent="0.5">
      <c r="A1" s="368" t="s">
        <v>408</v>
      </c>
      <c r="B1" s="558" t="s">
        <v>487</v>
      </c>
      <c r="C1" s="559"/>
    </row>
    <row r="2" spans="1:6" ht="22.5" thickBot="1" x14ac:dyDescent="0.5">
      <c r="A2" s="369" t="s">
        <v>0</v>
      </c>
      <c r="B2" s="562" t="s">
        <v>57</v>
      </c>
      <c r="C2" s="563"/>
    </row>
    <row r="3" spans="1:6" ht="21.75" x14ac:dyDescent="0.45">
      <c r="A3" s="397" t="s">
        <v>1</v>
      </c>
      <c r="B3" s="564" t="s">
        <v>263</v>
      </c>
      <c r="C3" s="564"/>
    </row>
    <row r="4" spans="1:6" x14ac:dyDescent="0.25">
      <c r="A4" s="398">
        <v>1</v>
      </c>
      <c r="B4" s="393" t="s">
        <v>235</v>
      </c>
      <c r="C4" s="394" t="s">
        <v>495</v>
      </c>
    </row>
    <row r="5" spans="1:6" x14ac:dyDescent="0.25">
      <c r="A5" s="398">
        <v>2</v>
      </c>
      <c r="B5" s="395" t="s">
        <v>145</v>
      </c>
      <c r="C5" s="394" t="s">
        <v>496</v>
      </c>
    </row>
    <row r="6" spans="1:6" x14ac:dyDescent="0.25">
      <c r="A6" s="398">
        <v>3</v>
      </c>
      <c r="B6" s="395" t="s">
        <v>255</v>
      </c>
      <c r="C6" s="394" t="s">
        <v>497</v>
      </c>
    </row>
    <row r="7" spans="1:6" x14ac:dyDescent="0.25">
      <c r="A7" s="398">
        <v>4</v>
      </c>
      <c r="B7" s="393" t="s">
        <v>262</v>
      </c>
      <c r="C7" s="394" t="s">
        <v>498</v>
      </c>
      <c r="F7" s="396"/>
    </row>
    <row r="8" spans="1:6" x14ac:dyDescent="0.25">
      <c r="A8" s="398">
        <v>5</v>
      </c>
      <c r="B8" s="393" t="s">
        <v>239</v>
      </c>
      <c r="C8" s="394" t="s">
        <v>499</v>
      </c>
      <c r="F8" s="396"/>
    </row>
    <row r="9" spans="1:6" x14ac:dyDescent="0.25">
      <c r="A9" s="398">
        <v>6</v>
      </c>
      <c r="B9" s="393" t="s">
        <v>242</v>
      </c>
      <c r="C9" s="394" t="s">
        <v>500</v>
      </c>
      <c r="F9" s="396"/>
    </row>
  </sheetData>
  <mergeCells count="3">
    <mergeCell ref="B1:C1"/>
    <mergeCell ref="B2:C2"/>
    <mergeCell ref="B3:C3"/>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F575B-B5B5-4A56-BDED-11C2F840D53A}">
  <sheetPr>
    <tabColor theme="9"/>
  </sheetPr>
  <dimension ref="A1:F40"/>
  <sheetViews>
    <sheetView topLeftCell="A26" workbookViewId="0">
      <selection activeCell="J35" sqref="J35"/>
    </sheetView>
  </sheetViews>
  <sheetFormatPr defaultRowHeight="15" x14ac:dyDescent="0.25"/>
  <cols>
    <col min="1" max="1" width="10.5703125" bestFit="1" customWidth="1"/>
    <col min="2" max="2" width="36.5703125" customWidth="1"/>
    <col min="6" max="6" width="13.85546875"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59</v>
      </c>
      <c r="B3" s="512" t="s">
        <v>175</v>
      </c>
      <c r="C3" s="513"/>
      <c r="D3" s="513"/>
      <c r="E3" s="513"/>
      <c r="F3" s="514"/>
    </row>
    <row r="4" spans="1:6" ht="19.5" thickBot="1" x14ac:dyDescent="0.35">
      <c r="A4" s="107" t="s">
        <v>1</v>
      </c>
      <c r="B4" s="512" t="s">
        <v>263</v>
      </c>
      <c r="C4" s="513"/>
      <c r="D4" s="513"/>
      <c r="E4" s="513"/>
      <c r="F4" s="514"/>
    </row>
    <row r="5" spans="1:6" ht="29.25" thickTop="1" x14ac:dyDescent="0.25">
      <c r="A5" s="96" t="s">
        <v>9</v>
      </c>
      <c r="B5" s="97" t="s">
        <v>10</v>
      </c>
      <c r="C5" s="98" t="s">
        <v>3</v>
      </c>
      <c r="D5" s="98" t="s">
        <v>11</v>
      </c>
      <c r="E5" s="108" t="s">
        <v>12</v>
      </c>
      <c r="F5" s="100" t="s">
        <v>4</v>
      </c>
    </row>
    <row r="6" spans="1:6" ht="28.5" x14ac:dyDescent="0.25">
      <c r="A6" s="101" t="s">
        <v>22</v>
      </c>
      <c r="B6" s="131" t="s">
        <v>177</v>
      </c>
      <c r="C6" s="102"/>
      <c r="D6" s="102"/>
      <c r="E6" s="102"/>
      <c r="F6" s="64"/>
    </row>
    <row r="7" spans="1:6" ht="60" x14ac:dyDescent="0.25">
      <c r="A7" s="21">
        <v>1</v>
      </c>
      <c r="B7" s="39" t="s">
        <v>176</v>
      </c>
      <c r="C7" s="21" t="s">
        <v>16</v>
      </c>
      <c r="D7" s="21">
        <v>1</v>
      </c>
      <c r="E7" s="21">
        <v>500</v>
      </c>
      <c r="F7" s="64">
        <f t="shared" ref="F7:F13" si="0">D7*E7</f>
        <v>500</v>
      </c>
    </row>
    <row r="8" spans="1:6" ht="90" x14ac:dyDescent="0.25">
      <c r="A8" s="13">
        <v>2</v>
      </c>
      <c r="B8" s="39" t="s">
        <v>30</v>
      </c>
      <c r="C8" s="21" t="s">
        <v>13</v>
      </c>
      <c r="D8" s="21">
        <f>73.5*3.8+9+11*8.5</f>
        <v>381.8</v>
      </c>
      <c r="E8" s="21">
        <v>10</v>
      </c>
      <c r="F8" s="64">
        <f t="shared" si="0"/>
        <v>3818</v>
      </c>
    </row>
    <row r="9" spans="1:6" ht="60" x14ac:dyDescent="0.25">
      <c r="A9" s="21">
        <v>3</v>
      </c>
      <c r="B9" s="39" t="s">
        <v>20</v>
      </c>
      <c r="C9" s="21" t="s">
        <v>13</v>
      </c>
      <c r="D9" s="21">
        <f>8*8.5*5</f>
        <v>340</v>
      </c>
      <c r="E9" s="21">
        <v>8</v>
      </c>
      <c r="F9" s="64">
        <f t="shared" si="0"/>
        <v>2720</v>
      </c>
    </row>
    <row r="10" spans="1:6" ht="45" x14ac:dyDescent="0.25">
      <c r="A10" s="13">
        <v>4</v>
      </c>
      <c r="B10" s="39" t="s">
        <v>14</v>
      </c>
      <c r="C10" s="21" t="s">
        <v>17</v>
      </c>
      <c r="D10" s="21">
        <v>250</v>
      </c>
      <c r="E10" s="21">
        <v>4</v>
      </c>
      <c r="F10" s="64">
        <f t="shared" si="0"/>
        <v>1000</v>
      </c>
    </row>
    <row r="11" spans="1:6" ht="60" x14ac:dyDescent="0.25">
      <c r="A11" s="21">
        <v>5</v>
      </c>
      <c r="B11" s="39" t="s">
        <v>174</v>
      </c>
      <c r="C11" s="21" t="s">
        <v>13</v>
      </c>
      <c r="D11" s="21">
        <f>D9*0.35</f>
        <v>118.99999999999999</v>
      </c>
      <c r="E11" s="21">
        <v>12</v>
      </c>
      <c r="F11" s="64">
        <f t="shared" si="0"/>
        <v>1427.9999999999998</v>
      </c>
    </row>
    <row r="12" spans="1:6" ht="75" x14ac:dyDescent="0.25">
      <c r="A12" s="13">
        <v>6</v>
      </c>
      <c r="B12" s="70" t="s">
        <v>18</v>
      </c>
      <c r="C12" s="67" t="s">
        <v>13</v>
      </c>
      <c r="D12" s="67">
        <f>((73.5*2+9*6+3*7)*2)*3.1</f>
        <v>1376.4</v>
      </c>
      <c r="E12" s="67">
        <v>3</v>
      </c>
      <c r="F12" s="64">
        <f t="shared" si="0"/>
        <v>4129.2000000000007</v>
      </c>
    </row>
    <row r="13" spans="1:6" ht="165" x14ac:dyDescent="0.25">
      <c r="A13" s="21">
        <v>7</v>
      </c>
      <c r="B13" s="65" t="s">
        <v>85</v>
      </c>
      <c r="C13" s="21" t="s">
        <v>19</v>
      </c>
      <c r="D13" s="21">
        <v>12</v>
      </c>
      <c r="E13" s="21">
        <v>125</v>
      </c>
      <c r="F13" s="64">
        <f t="shared" si="0"/>
        <v>1500</v>
      </c>
    </row>
    <row r="14" spans="1:6" ht="135" x14ac:dyDescent="0.25">
      <c r="A14" s="13">
        <v>8</v>
      </c>
      <c r="B14" s="65" t="s">
        <v>173</v>
      </c>
      <c r="C14" s="21" t="s">
        <v>2</v>
      </c>
      <c r="D14" s="21">
        <v>3</v>
      </c>
      <c r="E14" s="21">
        <v>150</v>
      </c>
      <c r="F14" s="64">
        <f>D14*E14</f>
        <v>450</v>
      </c>
    </row>
    <row r="15" spans="1:6" ht="45" x14ac:dyDescent="0.25">
      <c r="A15" s="21">
        <v>9</v>
      </c>
      <c r="B15" s="65" t="s">
        <v>23</v>
      </c>
      <c r="C15" s="21" t="s">
        <v>16</v>
      </c>
      <c r="D15" s="21">
        <v>1</v>
      </c>
      <c r="E15" s="21">
        <v>500</v>
      </c>
      <c r="F15" s="64">
        <f t="shared" ref="F15" si="1">D15*E15</f>
        <v>500</v>
      </c>
    </row>
    <row r="16" spans="1:6" x14ac:dyDescent="0.25">
      <c r="A16" s="77"/>
      <c r="B16" s="499" t="s">
        <v>178</v>
      </c>
      <c r="C16" s="500"/>
      <c r="D16" s="500"/>
      <c r="E16" s="501"/>
      <c r="F16" s="82">
        <f>SUM(F7:F15)</f>
        <v>16045.2</v>
      </c>
    </row>
    <row r="17" spans="1:6" x14ac:dyDescent="0.25">
      <c r="A17" s="77"/>
      <c r="B17" s="112"/>
      <c r="C17" s="113"/>
      <c r="D17" s="113"/>
      <c r="E17" s="114"/>
      <c r="F17" s="82"/>
    </row>
    <row r="18" spans="1:6" ht="28.5" x14ac:dyDescent="0.25">
      <c r="A18" s="77" t="s">
        <v>24</v>
      </c>
      <c r="B18" s="62" t="s">
        <v>311</v>
      </c>
      <c r="C18" s="34"/>
      <c r="D18" s="34"/>
      <c r="E18" s="34"/>
      <c r="F18" s="82">
        <f t="shared" ref="F18:F19" si="2">D18*E18</f>
        <v>0</v>
      </c>
    </row>
    <row r="19" spans="1:6" ht="60" x14ac:dyDescent="0.25">
      <c r="A19" s="13">
        <v>1</v>
      </c>
      <c r="B19" s="39" t="s">
        <v>312</v>
      </c>
      <c r="C19" s="21" t="s">
        <v>16</v>
      </c>
      <c r="D19" s="32">
        <v>1</v>
      </c>
      <c r="E19" s="21">
        <v>500</v>
      </c>
      <c r="F19" s="64">
        <f t="shared" si="2"/>
        <v>500</v>
      </c>
    </row>
    <row r="20" spans="1:6" ht="30" x14ac:dyDescent="0.25">
      <c r="A20" s="13">
        <v>2</v>
      </c>
      <c r="B20" s="39" t="s">
        <v>289</v>
      </c>
      <c r="C20" s="21" t="s">
        <v>2</v>
      </c>
      <c r="D20" s="21">
        <v>2</v>
      </c>
      <c r="E20" s="21">
        <v>150</v>
      </c>
      <c r="F20" s="64">
        <f>D20*E20</f>
        <v>300</v>
      </c>
    </row>
    <row r="21" spans="1:6" ht="45" x14ac:dyDescent="0.25">
      <c r="A21" s="13">
        <v>3</v>
      </c>
      <c r="B21" s="39" t="s">
        <v>279</v>
      </c>
      <c r="C21" s="120" t="s">
        <v>73</v>
      </c>
      <c r="D21" s="120">
        <v>1</v>
      </c>
      <c r="E21" s="121">
        <v>200</v>
      </c>
      <c r="F21" s="64">
        <f>D21*E21</f>
        <v>200</v>
      </c>
    </row>
    <row r="22" spans="1:6" x14ac:dyDescent="0.25">
      <c r="A22" s="77"/>
      <c r="B22" s="502" t="s">
        <v>34</v>
      </c>
      <c r="C22" s="503"/>
      <c r="D22" s="503"/>
      <c r="E22" s="504"/>
      <c r="F22" s="82">
        <f>SUM(F19:F21)</f>
        <v>1000</v>
      </c>
    </row>
    <row r="23" spans="1:6" x14ac:dyDescent="0.25">
      <c r="A23" s="166"/>
      <c r="B23" s="78"/>
      <c r="C23" s="167"/>
      <c r="D23" s="167"/>
      <c r="E23" s="155"/>
      <c r="F23" s="82"/>
    </row>
    <row r="24" spans="1:6" x14ac:dyDescent="0.25">
      <c r="A24" s="77"/>
      <c r="B24" s="78"/>
      <c r="C24" s="79"/>
      <c r="D24" s="79"/>
      <c r="E24" s="80"/>
      <c r="F24" s="82"/>
    </row>
    <row r="25" spans="1:6" x14ac:dyDescent="0.25">
      <c r="A25" s="77" t="s">
        <v>50</v>
      </c>
      <c r="B25" s="41" t="s">
        <v>32</v>
      </c>
      <c r="C25" s="34"/>
      <c r="D25" s="34"/>
      <c r="E25" s="34"/>
      <c r="F25" s="82"/>
    </row>
    <row r="26" spans="1:6" ht="165" x14ac:dyDescent="0.25">
      <c r="A26" s="13">
        <v>1</v>
      </c>
      <c r="B26" s="39" t="s">
        <v>82</v>
      </c>
      <c r="C26" s="21" t="s">
        <v>29</v>
      </c>
      <c r="D26" s="66">
        <f>8*15</f>
        <v>120</v>
      </c>
      <c r="E26" s="66">
        <v>120</v>
      </c>
      <c r="F26" s="64">
        <f>D26*E26</f>
        <v>14400</v>
      </c>
    </row>
    <row r="27" spans="1:6" x14ac:dyDescent="0.25">
      <c r="A27" s="13"/>
      <c r="B27" s="502" t="s">
        <v>33</v>
      </c>
      <c r="C27" s="503"/>
      <c r="D27" s="504"/>
      <c r="E27" s="66"/>
      <c r="F27" s="82">
        <f>SUM(F26)</f>
        <v>14400</v>
      </c>
    </row>
    <row r="28" spans="1:6" x14ac:dyDescent="0.25">
      <c r="A28" s="13"/>
      <c r="B28" s="39"/>
      <c r="C28" s="66"/>
      <c r="D28" s="66"/>
      <c r="E28" s="66"/>
      <c r="F28" s="64"/>
    </row>
    <row r="29" spans="1:6" x14ac:dyDescent="0.25">
      <c r="A29" s="77" t="s">
        <v>51</v>
      </c>
      <c r="B29" s="56" t="s">
        <v>54</v>
      </c>
      <c r="C29" s="48"/>
      <c r="D29" s="48"/>
      <c r="E29" s="40"/>
      <c r="F29" s="83"/>
    </row>
    <row r="30" spans="1:6" ht="75" x14ac:dyDescent="0.25">
      <c r="A30" s="13">
        <v>1</v>
      </c>
      <c r="B30" s="45" t="s">
        <v>55</v>
      </c>
      <c r="C30" s="13" t="s">
        <v>52</v>
      </c>
      <c r="D30" s="14">
        <v>1</v>
      </c>
      <c r="E30" s="40">
        <v>200</v>
      </c>
      <c r="F30" s="36">
        <f t="shared" ref="F30" si="3">D30*E30</f>
        <v>200</v>
      </c>
    </row>
    <row r="31" spans="1:6" x14ac:dyDescent="0.25">
      <c r="A31" s="77"/>
      <c r="B31" s="505" t="s">
        <v>56</v>
      </c>
      <c r="C31" s="505"/>
      <c r="D31" s="505"/>
      <c r="E31" s="505"/>
      <c r="F31" s="83">
        <f>SUM(F30)</f>
        <v>200</v>
      </c>
    </row>
    <row r="32" spans="1:6" x14ac:dyDescent="0.25">
      <c r="A32" s="13"/>
      <c r="B32" s="39"/>
      <c r="C32" s="66"/>
      <c r="D32" s="66"/>
      <c r="E32" s="66"/>
      <c r="F32" s="134"/>
    </row>
    <row r="33" spans="1:6" ht="15.75" thickBot="1" x14ac:dyDescent="0.3">
      <c r="A33" s="132"/>
      <c r="B33" s="509" t="s">
        <v>49</v>
      </c>
      <c r="C33" s="510"/>
      <c r="D33" s="510"/>
      <c r="E33" s="511"/>
      <c r="F33" s="133">
        <f>J30</f>
        <v>0</v>
      </c>
    </row>
    <row r="34" spans="1:6" x14ac:dyDescent="0.25">
      <c r="A34" s="143"/>
      <c r="B34" s="144"/>
      <c r="C34" s="145"/>
      <c r="D34" s="145"/>
      <c r="E34" s="146"/>
      <c r="F34" s="147"/>
    </row>
    <row r="35" spans="1:6" ht="15.75" thickBot="1" x14ac:dyDescent="0.3">
      <c r="A35" s="143"/>
      <c r="B35" s="144"/>
      <c r="C35" s="145"/>
      <c r="D35" s="145"/>
      <c r="E35" s="146"/>
      <c r="F35" s="147"/>
    </row>
    <row r="36" spans="1:6" x14ac:dyDescent="0.25">
      <c r="A36" s="148"/>
      <c r="B36" s="149" t="s">
        <v>5</v>
      </c>
      <c r="C36" s="542"/>
      <c r="D36" s="543"/>
      <c r="E36" s="543"/>
      <c r="F36" s="544"/>
    </row>
    <row r="37" spans="1:6" x14ac:dyDescent="0.25">
      <c r="A37" s="148"/>
      <c r="B37" s="149" t="s">
        <v>6</v>
      </c>
      <c r="C37" s="533"/>
      <c r="D37" s="534"/>
      <c r="E37" s="534"/>
      <c r="F37" s="535"/>
    </row>
    <row r="38" spans="1:6" x14ac:dyDescent="0.25">
      <c r="A38" s="148"/>
      <c r="B38" s="149" t="s">
        <v>7</v>
      </c>
      <c r="C38" s="536"/>
      <c r="D38" s="537"/>
      <c r="E38" s="537"/>
      <c r="F38" s="538"/>
    </row>
    <row r="39" spans="1:6" ht="15.75" thickBot="1" x14ac:dyDescent="0.3">
      <c r="A39" s="148"/>
      <c r="B39" s="149" t="s">
        <v>8</v>
      </c>
      <c r="C39" s="539"/>
      <c r="D39" s="540"/>
      <c r="E39" s="540"/>
      <c r="F39" s="541"/>
    </row>
    <row r="40" spans="1:6" x14ac:dyDescent="0.25">
      <c r="A40" s="143"/>
      <c r="B40" s="144"/>
      <c r="C40" s="145"/>
      <c r="D40" s="145"/>
      <c r="E40" s="146"/>
      <c r="F40" s="147"/>
    </row>
  </sheetData>
  <mergeCells count="11">
    <mergeCell ref="B22:E22"/>
    <mergeCell ref="B2:F2"/>
    <mergeCell ref="B3:F3"/>
    <mergeCell ref="B4:F4"/>
    <mergeCell ref="B16:E16"/>
    <mergeCell ref="C36:F36"/>
    <mergeCell ref="C37:F37"/>
    <mergeCell ref="C38:F39"/>
    <mergeCell ref="B27:D27"/>
    <mergeCell ref="B33:E33"/>
    <mergeCell ref="B31:E31"/>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47E86-CD97-474F-895F-D7440BFE2236}">
  <dimension ref="A1:G93"/>
  <sheetViews>
    <sheetView topLeftCell="A8" workbookViewId="0">
      <selection activeCell="F84" sqref="F84"/>
    </sheetView>
  </sheetViews>
  <sheetFormatPr defaultRowHeight="15" x14ac:dyDescent="0.25"/>
  <cols>
    <col min="1" max="1" width="10.5703125" bestFit="1" customWidth="1"/>
    <col min="2" max="2" width="44.5703125" customWidth="1"/>
    <col min="6" max="6" width="16.140625" customWidth="1"/>
    <col min="7" max="7" width="9.140625" bestFit="1" customWidth="1"/>
  </cols>
  <sheetData>
    <row r="1" spans="1:7" ht="15.75" thickBot="1" x14ac:dyDescent="0.3"/>
    <row r="2" spans="1:7" ht="27.95" customHeight="1" thickBot="1" x14ac:dyDescent="0.35">
      <c r="A2" s="106" t="s">
        <v>0</v>
      </c>
      <c r="B2" s="512" t="s">
        <v>57</v>
      </c>
      <c r="C2" s="513"/>
      <c r="D2" s="513"/>
      <c r="E2" s="513"/>
      <c r="F2" s="514"/>
    </row>
    <row r="3" spans="1:7" ht="19.5" thickBot="1" x14ac:dyDescent="0.35">
      <c r="A3" s="106" t="s">
        <v>59</v>
      </c>
      <c r="B3" s="512" t="s">
        <v>248</v>
      </c>
      <c r="C3" s="513"/>
      <c r="D3" s="513"/>
      <c r="E3" s="513"/>
      <c r="F3" s="514"/>
    </row>
    <row r="4" spans="1:7" ht="19.5" thickBot="1" x14ac:dyDescent="0.35">
      <c r="A4" s="107" t="s">
        <v>1</v>
      </c>
      <c r="B4" s="512" t="s">
        <v>263</v>
      </c>
      <c r="C4" s="513"/>
      <c r="D4" s="513"/>
      <c r="E4" s="513"/>
      <c r="F4" s="514"/>
    </row>
    <row r="5" spans="1:7" ht="29.25" thickTop="1" x14ac:dyDescent="0.25">
      <c r="A5" s="96" t="s">
        <v>9</v>
      </c>
      <c r="B5" s="97" t="s">
        <v>10</v>
      </c>
      <c r="C5" s="98" t="s">
        <v>3</v>
      </c>
      <c r="D5" s="98" t="s">
        <v>11</v>
      </c>
      <c r="E5" s="108" t="s">
        <v>12</v>
      </c>
      <c r="F5" s="100" t="s">
        <v>4</v>
      </c>
    </row>
    <row r="6" spans="1:7" x14ac:dyDescent="0.25">
      <c r="A6" s="101" t="s">
        <v>22</v>
      </c>
      <c r="B6" s="131" t="s">
        <v>247</v>
      </c>
      <c r="C6" s="102"/>
      <c r="D6" s="102"/>
      <c r="E6" s="102"/>
      <c r="F6" s="64"/>
    </row>
    <row r="7" spans="1:7" ht="45" x14ac:dyDescent="0.25">
      <c r="A7" s="21">
        <v>1</v>
      </c>
      <c r="B7" s="39" t="s">
        <v>250</v>
      </c>
      <c r="C7" s="21" t="s">
        <v>16</v>
      </c>
      <c r="D7" s="21">
        <v>1</v>
      </c>
      <c r="E7" s="21">
        <v>500</v>
      </c>
      <c r="F7" s="64">
        <f t="shared" ref="F7:F13" si="0">D7*E7</f>
        <v>500</v>
      </c>
    </row>
    <row r="8" spans="1:7" ht="75" x14ac:dyDescent="0.25">
      <c r="A8" s="13">
        <v>2</v>
      </c>
      <c r="B8" s="39" t="s">
        <v>30</v>
      </c>
      <c r="C8" s="21" t="s">
        <v>13</v>
      </c>
      <c r="D8" s="21">
        <f>(78*9.3+51*9.3)*1.15</f>
        <v>1379.655</v>
      </c>
      <c r="E8" s="21">
        <v>10</v>
      </c>
      <c r="F8" s="64">
        <f t="shared" si="0"/>
        <v>13796.55</v>
      </c>
    </row>
    <row r="9" spans="1:7" ht="45" x14ac:dyDescent="0.25">
      <c r="A9" s="21">
        <v>3</v>
      </c>
      <c r="B9" s="39" t="s">
        <v>20</v>
      </c>
      <c r="C9" s="21" t="s">
        <v>13</v>
      </c>
      <c r="D9" s="21">
        <f>(78*9.3+51*9.3)</f>
        <v>1199.7</v>
      </c>
      <c r="E9" s="21">
        <v>8</v>
      </c>
      <c r="F9" s="64">
        <f t="shared" si="0"/>
        <v>9597.6</v>
      </c>
    </row>
    <row r="10" spans="1:7" ht="45" x14ac:dyDescent="0.25">
      <c r="A10" s="13">
        <v>4</v>
      </c>
      <c r="B10" s="39" t="s">
        <v>14</v>
      </c>
      <c r="C10" s="21" t="s">
        <v>17</v>
      </c>
      <c r="D10" s="21">
        <v>330</v>
      </c>
      <c r="E10" s="21">
        <v>4</v>
      </c>
      <c r="F10" s="64">
        <f t="shared" si="0"/>
        <v>1320</v>
      </c>
    </row>
    <row r="11" spans="1:7" ht="45" x14ac:dyDescent="0.25">
      <c r="A11" s="21">
        <v>5</v>
      </c>
      <c r="B11" s="39" t="s">
        <v>84</v>
      </c>
      <c r="C11" s="21" t="s">
        <v>13</v>
      </c>
      <c r="D11" s="21">
        <f>D9*0.15</f>
        <v>179.95500000000001</v>
      </c>
      <c r="E11" s="21">
        <v>12</v>
      </c>
      <c r="F11" s="64">
        <f t="shared" si="0"/>
        <v>2159.46</v>
      </c>
    </row>
    <row r="12" spans="1:7" ht="60" x14ac:dyDescent="0.25">
      <c r="A12" s="13">
        <v>6</v>
      </c>
      <c r="B12" s="70" t="s">
        <v>18</v>
      </c>
      <c r="C12" s="67" t="s">
        <v>13</v>
      </c>
      <c r="D12" s="67">
        <f>((294+14*7)*2)*3.2</f>
        <v>2508.8000000000002</v>
      </c>
      <c r="E12" s="67">
        <v>3</v>
      </c>
      <c r="F12" s="64">
        <f t="shared" si="0"/>
        <v>7526.4000000000005</v>
      </c>
    </row>
    <row r="13" spans="1:7" ht="135" x14ac:dyDescent="0.25">
      <c r="A13" s="21">
        <v>7</v>
      </c>
      <c r="B13" s="65" t="s">
        <v>85</v>
      </c>
      <c r="C13" s="21" t="s">
        <v>19</v>
      </c>
      <c r="D13" s="21">
        <v>95</v>
      </c>
      <c r="E13" s="21">
        <v>125</v>
      </c>
      <c r="F13" s="64">
        <f t="shared" si="0"/>
        <v>11875</v>
      </c>
    </row>
    <row r="14" spans="1:7" ht="90" x14ac:dyDescent="0.25">
      <c r="A14" s="13">
        <v>8</v>
      </c>
      <c r="B14" s="65" t="s">
        <v>64</v>
      </c>
      <c r="C14" s="21" t="s">
        <v>2</v>
      </c>
      <c r="D14" s="21">
        <v>26</v>
      </c>
      <c r="E14" s="21">
        <v>150</v>
      </c>
      <c r="F14" s="64">
        <f>D14*E14</f>
        <v>3900</v>
      </c>
    </row>
    <row r="15" spans="1:7" ht="45" x14ac:dyDescent="0.25">
      <c r="A15" s="21">
        <v>9</v>
      </c>
      <c r="B15" s="65" t="s">
        <v>23</v>
      </c>
      <c r="C15" s="21" t="s">
        <v>16</v>
      </c>
      <c r="D15" s="21">
        <v>1</v>
      </c>
      <c r="E15" s="21">
        <v>500</v>
      </c>
      <c r="F15" s="64">
        <f t="shared" ref="F15" si="1">D15*E15</f>
        <v>500</v>
      </c>
    </row>
    <row r="16" spans="1:7" x14ac:dyDescent="0.25">
      <c r="A16" s="77"/>
      <c r="B16" s="499" t="s">
        <v>314</v>
      </c>
      <c r="C16" s="500"/>
      <c r="D16" s="500"/>
      <c r="E16" s="501"/>
      <c r="F16" s="82">
        <f>SUM(F7:F15)</f>
        <v>51175.01</v>
      </c>
      <c r="G16" s="30"/>
    </row>
    <row r="17" spans="1:7" x14ac:dyDescent="0.25">
      <c r="A17" s="172" t="s">
        <v>27</v>
      </c>
      <c r="B17" s="173" t="s">
        <v>369</v>
      </c>
      <c r="C17" s="174"/>
      <c r="D17" s="174"/>
      <c r="E17" s="175"/>
      <c r="F17" s="176"/>
      <c r="G17" s="30"/>
    </row>
    <row r="18" spans="1:7" x14ac:dyDescent="0.25">
      <c r="A18" s="34"/>
      <c r="B18" s="168" t="s">
        <v>182</v>
      </c>
      <c r="C18" s="21"/>
      <c r="D18" s="21"/>
      <c r="E18" s="35"/>
      <c r="F18" s="36"/>
      <c r="G18" s="30"/>
    </row>
    <row r="19" spans="1:7" x14ac:dyDescent="0.25">
      <c r="A19" s="34"/>
      <c r="B19" s="169" t="s">
        <v>183</v>
      </c>
      <c r="C19" s="21"/>
      <c r="D19" s="21"/>
      <c r="E19" s="35"/>
      <c r="F19" s="36"/>
      <c r="G19" s="30"/>
    </row>
    <row r="20" spans="1:7" ht="45" x14ac:dyDescent="0.25">
      <c r="A20" s="21">
        <v>1</v>
      </c>
      <c r="B20" s="37" t="s">
        <v>184</v>
      </c>
      <c r="C20" s="38" t="s">
        <v>185</v>
      </c>
      <c r="D20" s="21">
        <f>6.3*4.2</f>
        <v>26.46</v>
      </c>
      <c r="E20" s="35">
        <v>1</v>
      </c>
      <c r="F20" s="36">
        <f t="shared" ref="F20:F72" si="2">D20*E20</f>
        <v>26.46</v>
      </c>
      <c r="G20" s="30"/>
    </row>
    <row r="21" spans="1:7" ht="30" x14ac:dyDescent="0.25">
      <c r="A21" s="21">
        <v>2</v>
      </c>
      <c r="B21" s="39" t="s">
        <v>186</v>
      </c>
      <c r="C21" s="21" t="s">
        <v>103</v>
      </c>
      <c r="D21" s="35">
        <f>2*3*5</f>
        <v>30</v>
      </c>
      <c r="E21" s="170">
        <v>6</v>
      </c>
      <c r="F21" s="36">
        <f t="shared" si="2"/>
        <v>180</v>
      </c>
      <c r="G21" s="30"/>
    </row>
    <row r="22" spans="1:7" ht="45" x14ac:dyDescent="0.25">
      <c r="A22" s="21">
        <v>3</v>
      </c>
      <c r="B22" s="39" t="s">
        <v>187</v>
      </c>
      <c r="C22" s="21" t="s">
        <v>103</v>
      </c>
      <c r="D22" s="40">
        <f>10*0.15</f>
        <v>1.5</v>
      </c>
      <c r="E22" s="35">
        <v>50</v>
      </c>
      <c r="F22" s="36">
        <f t="shared" si="2"/>
        <v>75</v>
      </c>
      <c r="G22" s="30"/>
    </row>
    <row r="23" spans="1:7" ht="60" x14ac:dyDescent="0.25">
      <c r="A23" s="21">
        <v>4</v>
      </c>
      <c r="B23" s="39" t="s">
        <v>188</v>
      </c>
      <c r="C23" s="21" t="s">
        <v>103</v>
      </c>
      <c r="D23" s="40">
        <f>(18.9+8.4+8.8)*0.4*0.3</f>
        <v>4.331999999999999</v>
      </c>
      <c r="E23" s="35">
        <v>5</v>
      </c>
      <c r="F23" s="36">
        <f t="shared" si="2"/>
        <v>21.659999999999997</v>
      </c>
      <c r="G23" s="30"/>
    </row>
    <row r="24" spans="1:7" ht="45" x14ac:dyDescent="0.25">
      <c r="A24" s="21">
        <v>5</v>
      </c>
      <c r="B24" s="39" t="s">
        <v>189</v>
      </c>
      <c r="C24" s="21" t="s">
        <v>103</v>
      </c>
      <c r="D24" s="40">
        <f>36.1*0.4*0.05</f>
        <v>0.72200000000000009</v>
      </c>
      <c r="E24" s="35">
        <v>120</v>
      </c>
      <c r="F24" s="36">
        <f t="shared" si="2"/>
        <v>86.640000000000015</v>
      </c>
      <c r="G24" s="30"/>
    </row>
    <row r="25" spans="1:7" ht="75" x14ac:dyDescent="0.25">
      <c r="A25" s="21">
        <v>6</v>
      </c>
      <c r="B25" s="39" t="s">
        <v>190</v>
      </c>
      <c r="C25" s="21" t="s">
        <v>103</v>
      </c>
      <c r="D25" s="14">
        <f>36.1*0.6*0.4</f>
        <v>8.6639999999999997</v>
      </c>
      <c r="E25" s="35">
        <v>50</v>
      </c>
      <c r="F25" s="36">
        <f t="shared" si="2"/>
        <v>433.2</v>
      </c>
      <c r="G25" s="30"/>
    </row>
    <row r="26" spans="1:7" x14ac:dyDescent="0.25">
      <c r="A26" s="34"/>
      <c r="B26" s="169" t="s">
        <v>191</v>
      </c>
      <c r="C26" s="41"/>
      <c r="D26" s="13"/>
      <c r="E26" s="40"/>
      <c r="F26" s="36"/>
      <c r="G26" s="30"/>
    </row>
    <row r="27" spans="1:7" ht="90" x14ac:dyDescent="0.25">
      <c r="A27" s="21">
        <v>7</v>
      </c>
      <c r="B27" s="39" t="s">
        <v>350</v>
      </c>
      <c r="C27" s="21" t="s">
        <v>103</v>
      </c>
      <c r="D27" s="14">
        <f>0.4*36.1*0.15</f>
        <v>2.1659999999999999</v>
      </c>
      <c r="E27" s="14">
        <v>280</v>
      </c>
      <c r="F27" s="36">
        <f t="shared" si="2"/>
        <v>606.48</v>
      </c>
      <c r="G27" s="30"/>
    </row>
    <row r="28" spans="1:7" ht="105" x14ac:dyDescent="0.25">
      <c r="A28" s="21">
        <v>8</v>
      </c>
      <c r="B28" s="39" t="s">
        <v>192</v>
      </c>
      <c r="C28" s="21" t="s">
        <v>103</v>
      </c>
      <c r="D28" s="14">
        <f>3.8*2.8*0.15</f>
        <v>1.5959999999999999</v>
      </c>
      <c r="E28" s="14">
        <v>280</v>
      </c>
      <c r="F28" s="36">
        <f t="shared" si="2"/>
        <v>446.87999999999994</v>
      </c>
      <c r="G28" s="30"/>
    </row>
    <row r="29" spans="1:7" x14ac:dyDescent="0.25">
      <c r="A29" s="34"/>
      <c r="B29" s="169" t="s">
        <v>193</v>
      </c>
      <c r="C29" s="21"/>
      <c r="D29" s="41"/>
      <c r="E29" s="14"/>
      <c r="F29" s="36"/>
      <c r="G29" s="30"/>
    </row>
    <row r="30" spans="1:7" ht="45" x14ac:dyDescent="0.25">
      <c r="A30" s="21">
        <v>9</v>
      </c>
      <c r="B30" s="39" t="s">
        <v>194</v>
      </c>
      <c r="C30" s="21" t="s">
        <v>103</v>
      </c>
      <c r="D30" s="35">
        <f>6.3*4.2*0.2</f>
        <v>5.2920000000000007</v>
      </c>
      <c r="E30" s="14">
        <v>5</v>
      </c>
      <c r="F30" s="36">
        <f t="shared" si="2"/>
        <v>26.460000000000004</v>
      </c>
      <c r="G30" s="30"/>
    </row>
    <row r="31" spans="1:7" ht="30" x14ac:dyDescent="0.25">
      <c r="A31" s="21">
        <v>10</v>
      </c>
      <c r="B31" s="39" t="s">
        <v>195</v>
      </c>
      <c r="C31" s="21" t="s">
        <v>103</v>
      </c>
      <c r="D31" s="42">
        <f>D30</f>
        <v>5.2920000000000007</v>
      </c>
      <c r="E31" s="14">
        <v>20</v>
      </c>
      <c r="F31" s="36">
        <f t="shared" si="2"/>
        <v>105.84000000000002</v>
      </c>
      <c r="G31" s="30"/>
    </row>
    <row r="32" spans="1:7" x14ac:dyDescent="0.25">
      <c r="A32" s="21"/>
      <c r="B32" s="43" t="s">
        <v>196</v>
      </c>
      <c r="C32" s="21"/>
      <c r="D32" s="44"/>
      <c r="E32" s="14"/>
      <c r="F32" s="36"/>
      <c r="G32" s="30"/>
    </row>
    <row r="33" spans="1:7" ht="45" x14ac:dyDescent="0.25">
      <c r="A33" s="21">
        <v>11</v>
      </c>
      <c r="B33" s="39" t="s">
        <v>197</v>
      </c>
      <c r="C33" s="21" t="s">
        <v>103</v>
      </c>
      <c r="D33" s="44">
        <f>6.3*4.2*0.05</f>
        <v>1.3230000000000002</v>
      </c>
      <c r="E33" s="14">
        <v>100</v>
      </c>
      <c r="F33" s="36">
        <f t="shared" si="2"/>
        <v>132.30000000000001</v>
      </c>
      <c r="G33" s="30"/>
    </row>
    <row r="34" spans="1:7" ht="30" x14ac:dyDescent="0.25">
      <c r="A34" s="21">
        <v>12</v>
      </c>
      <c r="B34" s="45" t="s">
        <v>198</v>
      </c>
      <c r="C34" s="38" t="s">
        <v>185</v>
      </c>
      <c r="D34" s="13">
        <f>3*2*3</f>
        <v>18</v>
      </c>
      <c r="E34" s="14">
        <v>15</v>
      </c>
      <c r="F34" s="36">
        <f t="shared" si="2"/>
        <v>270</v>
      </c>
      <c r="G34" s="30"/>
    </row>
    <row r="35" spans="1:7" ht="60" x14ac:dyDescent="0.25">
      <c r="A35" s="21">
        <v>13</v>
      </c>
      <c r="B35" s="45" t="s">
        <v>199</v>
      </c>
      <c r="C35" s="38" t="s">
        <v>185</v>
      </c>
      <c r="D35" s="13">
        <v>34.200000000000003</v>
      </c>
      <c r="E35" s="14">
        <v>15</v>
      </c>
      <c r="F35" s="36">
        <f t="shared" si="2"/>
        <v>513</v>
      </c>
      <c r="G35" s="30"/>
    </row>
    <row r="36" spans="1:7" x14ac:dyDescent="0.25">
      <c r="A36" s="34"/>
      <c r="B36" s="39"/>
      <c r="C36" s="13"/>
      <c r="D36" s="46"/>
      <c r="E36" s="14"/>
      <c r="F36" s="36"/>
      <c r="G36" s="30"/>
    </row>
    <row r="37" spans="1:7" x14ac:dyDescent="0.25">
      <c r="A37" s="34"/>
      <c r="B37" s="171" t="s">
        <v>182</v>
      </c>
      <c r="C37" s="13"/>
      <c r="D37" s="13"/>
      <c r="E37" s="14"/>
      <c r="F37" s="36"/>
      <c r="G37" s="30"/>
    </row>
    <row r="38" spans="1:7" x14ac:dyDescent="0.25">
      <c r="A38" s="21"/>
      <c r="B38" s="47" t="s">
        <v>200</v>
      </c>
      <c r="C38" s="48"/>
      <c r="D38" s="48"/>
      <c r="E38" s="170"/>
      <c r="F38" s="36"/>
      <c r="G38" s="30"/>
    </row>
    <row r="39" spans="1:7" ht="60" x14ac:dyDescent="0.25">
      <c r="A39" s="21">
        <v>14</v>
      </c>
      <c r="B39" s="45" t="s">
        <v>201</v>
      </c>
      <c r="C39" s="38" t="s">
        <v>185</v>
      </c>
      <c r="D39" s="13">
        <f>(18.9+12.8)*2.9</f>
        <v>91.929999999999993</v>
      </c>
      <c r="E39" s="14">
        <v>14</v>
      </c>
      <c r="F39" s="36">
        <f t="shared" si="2"/>
        <v>1287.02</v>
      </c>
      <c r="G39" s="30"/>
    </row>
    <row r="40" spans="1:7" x14ac:dyDescent="0.25">
      <c r="A40" s="21"/>
      <c r="B40" s="47" t="s">
        <v>202</v>
      </c>
      <c r="C40" s="48"/>
      <c r="D40" s="48"/>
      <c r="E40" s="40"/>
      <c r="F40" s="36"/>
      <c r="G40" s="30"/>
    </row>
    <row r="41" spans="1:7" ht="90" x14ac:dyDescent="0.25">
      <c r="A41" s="49">
        <v>15</v>
      </c>
      <c r="B41" s="45" t="s">
        <v>203</v>
      </c>
      <c r="C41" s="21" t="s">
        <v>103</v>
      </c>
      <c r="D41" s="14">
        <f>36.1*0.15*0.15</f>
        <v>0.81225000000000003</v>
      </c>
      <c r="E41" s="14">
        <v>300</v>
      </c>
      <c r="F41" s="36">
        <f t="shared" si="2"/>
        <v>243.67500000000001</v>
      </c>
      <c r="G41" s="30"/>
    </row>
    <row r="42" spans="1:7" x14ac:dyDescent="0.25">
      <c r="A42" s="13"/>
      <c r="B42" s="43" t="s">
        <v>204</v>
      </c>
      <c r="C42" s="48"/>
      <c r="D42" s="48"/>
      <c r="E42" s="14"/>
      <c r="F42" s="36"/>
      <c r="G42" s="30"/>
    </row>
    <row r="43" spans="1:7" ht="45" x14ac:dyDescent="0.25">
      <c r="A43" s="13">
        <v>16</v>
      </c>
      <c r="B43" s="45" t="s">
        <v>205</v>
      </c>
      <c r="C43" s="21" t="s">
        <v>206</v>
      </c>
      <c r="D43" s="14">
        <v>1</v>
      </c>
      <c r="E43" s="14">
        <v>300</v>
      </c>
      <c r="F43" s="36">
        <f t="shared" si="2"/>
        <v>300</v>
      </c>
      <c r="G43" s="30"/>
    </row>
    <row r="44" spans="1:7" ht="60" x14ac:dyDescent="0.25">
      <c r="A44" s="13">
        <v>17</v>
      </c>
      <c r="B44" s="45" t="s">
        <v>207</v>
      </c>
      <c r="C44" s="21" t="s">
        <v>206</v>
      </c>
      <c r="D44" s="14">
        <v>1</v>
      </c>
      <c r="E44" s="14">
        <v>150</v>
      </c>
      <c r="F44" s="36">
        <f t="shared" si="2"/>
        <v>150</v>
      </c>
      <c r="G44" s="30"/>
    </row>
    <row r="45" spans="1:7" ht="45" x14ac:dyDescent="0.25">
      <c r="A45" s="13">
        <v>18</v>
      </c>
      <c r="B45" s="50" t="s">
        <v>208</v>
      </c>
      <c r="C45" s="13" t="s">
        <v>206</v>
      </c>
      <c r="D45" s="14">
        <v>1</v>
      </c>
      <c r="E45" s="14">
        <v>120</v>
      </c>
      <c r="F45" s="36">
        <f t="shared" si="2"/>
        <v>120</v>
      </c>
      <c r="G45" s="30"/>
    </row>
    <row r="46" spans="1:7" x14ac:dyDescent="0.25">
      <c r="A46" s="48"/>
      <c r="B46" s="48"/>
      <c r="C46" s="48"/>
      <c r="D46" s="48"/>
      <c r="E46" s="14"/>
      <c r="F46" s="36"/>
      <c r="G46" s="30"/>
    </row>
    <row r="47" spans="1:7" x14ac:dyDescent="0.25">
      <c r="A47" s="48"/>
      <c r="B47" s="171" t="s">
        <v>209</v>
      </c>
      <c r="C47" s="48"/>
      <c r="D47" s="48"/>
      <c r="E47" s="14"/>
      <c r="F47" s="36"/>
      <c r="G47" s="30"/>
    </row>
    <row r="48" spans="1:7" ht="135" x14ac:dyDescent="0.25">
      <c r="A48" s="13">
        <v>19</v>
      </c>
      <c r="B48" s="45" t="s">
        <v>210</v>
      </c>
      <c r="C48" s="38" t="s">
        <v>185</v>
      </c>
      <c r="D48" s="14">
        <f>(6.3*4.8)</f>
        <v>30.24</v>
      </c>
      <c r="E48" s="14">
        <v>20</v>
      </c>
      <c r="F48" s="36">
        <f t="shared" si="2"/>
        <v>604.79999999999995</v>
      </c>
      <c r="G48" s="30"/>
    </row>
    <row r="49" spans="1:7" x14ac:dyDescent="0.25">
      <c r="A49" s="13">
        <v>20</v>
      </c>
      <c r="B49" s="48" t="s">
        <v>211</v>
      </c>
      <c r="C49" s="13" t="s">
        <v>185</v>
      </c>
      <c r="D49" s="14">
        <v>17</v>
      </c>
      <c r="E49" s="14">
        <v>4</v>
      </c>
      <c r="F49" s="36">
        <f t="shared" si="2"/>
        <v>68</v>
      </c>
      <c r="G49" s="30"/>
    </row>
    <row r="50" spans="1:7" x14ac:dyDescent="0.25">
      <c r="A50" s="48"/>
      <c r="B50" s="48"/>
      <c r="C50" s="48"/>
      <c r="D50" s="48"/>
      <c r="E50" s="14"/>
      <c r="F50" s="36"/>
      <c r="G50" s="30"/>
    </row>
    <row r="51" spans="1:7" x14ac:dyDescent="0.25">
      <c r="A51" s="48"/>
      <c r="B51" s="171" t="s">
        <v>212</v>
      </c>
      <c r="C51" s="48"/>
      <c r="D51" s="48"/>
      <c r="E51" s="14"/>
      <c r="F51" s="36"/>
      <c r="G51" s="30"/>
    </row>
    <row r="52" spans="1:7" ht="30" x14ac:dyDescent="0.25">
      <c r="A52" s="13">
        <v>21</v>
      </c>
      <c r="B52" s="50" t="s">
        <v>213</v>
      </c>
      <c r="C52" s="38" t="s">
        <v>185</v>
      </c>
      <c r="D52" s="13">
        <f>(24+16.8+8)*2.9</f>
        <v>141.51999999999998</v>
      </c>
      <c r="E52" s="14">
        <v>3</v>
      </c>
      <c r="F52" s="36">
        <f t="shared" si="2"/>
        <v>424.55999999999995</v>
      </c>
      <c r="G52" s="30"/>
    </row>
    <row r="53" spans="1:7" ht="30" x14ac:dyDescent="0.25">
      <c r="A53" s="13">
        <v>22</v>
      </c>
      <c r="B53" s="50" t="s">
        <v>214</v>
      </c>
      <c r="C53" s="38" t="s">
        <v>185</v>
      </c>
      <c r="D53" s="13">
        <f>(24+16.8+8)*1</f>
        <v>48.8</v>
      </c>
      <c r="E53" s="14">
        <v>1</v>
      </c>
      <c r="F53" s="36">
        <f t="shared" si="2"/>
        <v>48.8</v>
      </c>
      <c r="G53" s="30"/>
    </row>
    <row r="54" spans="1:7" ht="45" x14ac:dyDescent="0.25">
      <c r="A54" s="13">
        <v>23</v>
      </c>
      <c r="B54" s="50" t="s">
        <v>215</v>
      </c>
      <c r="C54" s="38" t="s">
        <v>185</v>
      </c>
      <c r="D54" s="13">
        <f>D53</f>
        <v>48.8</v>
      </c>
      <c r="E54" s="14">
        <v>3</v>
      </c>
      <c r="F54" s="36">
        <f t="shared" si="2"/>
        <v>146.39999999999998</v>
      </c>
      <c r="G54" s="30"/>
    </row>
    <row r="55" spans="1:7" x14ac:dyDescent="0.25">
      <c r="A55" s="48"/>
      <c r="B55" s="48"/>
      <c r="C55" s="48"/>
      <c r="D55" s="48"/>
      <c r="E55" s="14"/>
      <c r="F55" s="36"/>
      <c r="G55" s="30"/>
    </row>
    <row r="56" spans="1:7" x14ac:dyDescent="0.25">
      <c r="A56" s="48"/>
      <c r="B56" s="171" t="s">
        <v>216</v>
      </c>
      <c r="C56" s="48"/>
      <c r="D56" s="48"/>
      <c r="E56" s="14"/>
      <c r="F56" s="36"/>
      <c r="G56" s="30"/>
    </row>
    <row r="57" spans="1:7" x14ac:dyDescent="0.25">
      <c r="A57" s="13"/>
      <c r="B57" s="47" t="s">
        <v>217</v>
      </c>
      <c r="C57" s="48"/>
      <c r="D57" s="48"/>
      <c r="E57" s="14"/>
      <c r="F57" s="36"/>
      <c r="G57" s="30"/>
    </row>
    <row r="58" spans="1:7" ht="45" x14ac:dyDescent="0.25">
      <c r="A58" s="13">
        <v>24</v>
      </c>
      <c r="B58" s="50" t="s">
        <v>218</v>
      </c>
      <c r="C58" s="13" t="s">
        <v>52</v>
      </c>
      <c r="D58" s="14">
        <v>3</v>
      </c>
      <c r="E58" s="14">
        <v>125</v>
      </c>
      <c r="F58" s="36">
        <f t="shared" si="2"/>
        <v>375</v>
      </c>
      <c r="G58" s="30"/>
    </row>
    <row r="59" spans="1:7" x14ac:dyDescent="0.25">
      <c r="A59" s="48"/>
      <c r="B59" s="47" t="s">
        <v>219</v>
      </c>
      <c r="C59" s="48"/>
      <c r="D59" s="48"/>
      <c r="E59" s="14"/>
      <c r="F59" s="36"/>
      <c r="G59" s="30"/>
    </row>
    <row r="60" spans="1:7" ht="45" x14ac:dyDescent="0.25">
      <c r="A60" s="13">
        <v>25</v>
      </c>
      <c r="B60" s="45" t="s">
        <v>220</v>
      </c>
      <c r="C60" s="13" t="s">
        <v>52</v>
      </c>
      <c r="D60" s="14">
        <v>3</v>
      </c>
      <c r="E60" s="14">
        <v>15</v>
      </c>
      <c r="F60" s="36">
        <f t="shared" si="2"/>
        <v>45</v>
      </c>
      <c r="G60" s="30"/>
    </row>
    <row r="61" spans="1:7" x14ac:dyDescent="0.25">
      <c r="A61" s="13"/>
      <c r="B61" s="45"/>
      <c r="C61" s="13"/>
      <c r="D61" s="14"/>
      <c r="E61" s="14"/>
      <c r="F61" s="36"/>
      <c r="G61" s="30"/>
    </row>
    <row r="62" spans="1:7" x14ac:dyDescent="0.25">
      <c r="A62" s="13"/>
      <c r="B62" s="171" t="s">
        <v>221</v>
      </c>
      <c r="C62" s="48"/>
      <c r="D62" s="48"/>
      <c r="E62" s="14"/>
      <c r="F62" s="36"/>
      <c r="G62" s="30"/>
    </row>
    <row r="63" spans="1:7" x14ac:dyDescent="0.25">
      <c r="A63" s="13"/>
      <c r="B63" s="47" t="s">
        <v>222</v>
      </c>
      <c r="C63" s="48"/>
      <c r="D63" s="48"/>
      <c r="E63" s="14"/>
      <c r="F63" s="36"/>
      <c r="G63" s="30"/>
    </row>
    <row r="64" spans="1:7" x14ac:dyDescent="0.25">
      <c r="A64" s="13">
        <v>26</v>
      </c>
      <c r="B64" s="51" t="s">
        <v>223</v>
      </c>
      <c r="C64" s="13" t="s">
        <v>52</v>
      </c>
      <c r="D64" s="14">
        <v>1</v>
      </c>
      <c r="E64" s="14">
        <v>50</v>
      </c>
      <c r="F64" s="36">
        <f t="shared" si="2"/>
        <v>50</v>
      </c>
      <c r="G64" s="30"/>
    </row>
    <row r="65" spans="1:7" ht="45" x14ac:dyDescent="0.25">
      <c r="A65" s="13">
        <v>27</v>
      </c>
      <c r="B65" s="51" t="s">
        <v>224</v>
      </c>
      <c r="C65" s="13" t="s">
        <v>52</v>
      </c>
      <c r="D65" s="14">
        <v>2</v>
      </c>
      <c r="E65" s="14">
        <v>150</v>
      </c>
      <c r="F65" s="36">
        <f t="shared" si="2"/>
        <v>300</v>
      </c>
      <c r="G65" s="30"/>
    </row>
    <row r="66" spans="1:7" ht="45" x14ac:dyDescent="0.25">
      <c r="A66" s="13">
        <v>28</v>
      </c>
      <c r="B66" s="51" t="s">
        <v>225</v>
      </c>
      <c r="C66" s="13" t="s">
        <v>52</v>
      </c>
      <c r="D66" s="14">
        <v>1</v>
      </c>
      <c r="E66" s="14">
        <v>120</v>
      </c>
      <c r="F66" s="36">
        <f t="shared" si="2"/>
        <v>120</v>
      </c>
      <c r="G66" s="30"/>
    </row>
    <row r="67" spans="1:7" ht="30" x14ac:dyDescent="0.25">
      <c r="A67" s="13">
        <v>29</v>
      </c>
      <c r="B67" s="51" t="s">
        <v>226</v>
      </c>
      <c r="C67" s="13" t="s">
        <v>52</v>
      </c>
      <c r="D67" s="14">
        <v>3</v>
      </c>
      <c r="E67" s="14">
        <v>100</v>
      </c>
      <c r="F67" s="36">
        <f t="shared" si="2"/>
        <v>300</v>
      </c>
      <c r="G67" s="30"/>
    </row>
    <row r="68" spans="1:7" ht="45" x14ac:dyDescent="0.25">
      <c r="A68" s="13">
        <v>30</v>
      </c>
      <c r="B68" s="39" t="s">
        <v>227</v>
      </c>
      <c r="C68" s="13" t="s">
        <v>52</v>
      </c>
      <c r="D68" s="14">
        <v>3</v>
      </c>
      <c r="E68" s="14">
        <v>50</v>
      </c>
      <c r="F68" s="36">
        <f t="shared" si="2"/>
        <v>150</v>
      </c>
      <c r="G68" s="30"/>
    </row>
    <row r="69" spans="1:7" ht="30" x14ac:dyDescent="0.25">
      <c r="A69" s="13">
        <v>31</v>
      </c>
      <c r="B69" s="39" t="s">
        <v>228</v>
      </c>
      <c r="C69" s="13" t="s">
        <v>229</v>
      </c>
      <c r="D69" s="14">
        <v>1</v>
      </c>
      <c r="E69" s="14">
        <v>200</v>
      </c>
      <c r="F69" s="36">
        <f t="shared" si="2"/>
        <v>200</v>
      </c>
      <c r="G69" s="30"/>
    </row>
    <row r="70" spans="1:7" x14ac:dyDescent="0.25">
      <c r="A70" s="48"/>
      <c r="B70" s="48"/>
      <c r="C70" s="48"/>
      <c r="D70" s="48"/>
      <c r="E70" s="14"/>
      <c r="F70" s="36"/>
      <c r="G70" s="30"/>
    </row>
    <row r="71" spans="1:7" x14ac:dyDescent="0.25">
      <c r="A71" s="48"/>
      <c r="B71" s="171" t="s">
        <v>230</v>
      </c>
      <c r="C71" s="48"/>
      <c r="D71" s="48"/>
      <c r="E71" s="14"/>
      <c r="F71" s="36"/>
      <c r="G71" s="30"/>
    </row>
    <row r="72" spans="1:7" ht="30" x14ac:dyDescent="0.25">
      <c r="A72" s="13">
        <v>31</v>
      </c>
      <c r="B72" s="50" t="s">
        <v>231</v>
      </c>
      <c r="C72" s="13" t="s">
        <v>52</v>
      </c>
      <c r="D72" s="14">
        <v>3</v>
      </c>
      <c r="E72" s="14">
        <v>100</v>
      </c>
      <c r="F72" s="36">
        <f t="shared" si="2"/>
        <v>300</v>
      </c>
      <c r="G72" s="30"/>
    </row>
    <row r="73" spans="1:7" x14ac:dyDescent="0.25">
      <c r="A73" s="13"/>
      <c r="B73" s="48"/>
      <c r="C73" s="13"/>
      <c r="D73" s="14"/>
      <c r="E73" s="14"/>
      <c r="F73" s="52"/>
      <c r="G73" s="30"/>
    </row>
    <row r="74" spans="1:7" x14ac:dyDescent="0.25">
      <c r="A74" s="53"/>
      <c r="B74" s="565" t="s">
        <v>351</v>
      </c>
      <c r="C74" s="566"/>
      <c r="D74" s="566"/>
      <c r="E74" s="567"/>
      <c r="F74" s="54">
        <f>SUM(F20:F73)</f>
        <v>8157.1750000000002</v>
      </c>
      <c r="G74" s="30"/>
    </row>
    <row r="75" spans="1:7" x14ac:dyDescent="0.25">
      <c r="A75" s="13"/>
      <c r="B75" s="50"/>
      <c r="C75" s="13"/>
      <c r="D75" s="14"/>
      <c r="E75" s="14"/>
      <c r="F75" s="36"/>
      <c r="G75" s="30"/>
    </row>
    <row r="76" spans="1:7" x14ac:dyDescent="0.25">
      <c r="A76" s="77" t="s">
        <v>27</v>
      </c>
      <c r="B76" s="41" t="s">
        <v>32</v>
      </c>
      <c r="C76" s="34"/>
      <c r="D76" s="34"/>
      <c r="E76" s="34"/>
      <c r="F76" s="82"/>
    </row>
    <row r="77" spans="1:7" ht="135" x14ac:dyDescent="0.25">
      <c r="A77" s="13">
        <v>1</v>
      </c>
      <c r="B77" s="39" t="s">
        <v>82</v>
      </c>
      <c r="C77" s="21" t="s">
        <v>29</v>
      </c>
      <c r="D77" s="66">
        <f>10*15</f>
        <v>150</v>
      </c>
      <c r="E77" s="66">
        <v>120</v>
      </c>
      <c r="F77" s="64">
        <f>D77*E77</f>
        <v>18000</v>
      </c>
    </row>
    <row r="78" spans="1:7" x14ac:dyDescent="0.25">
      <c r="A78" s="13"/>
      <c r="B78" s="502" t="s">
        <v>33</v>
      </c>
      <c r="C78" s="503"/>
      <c r="D78" s="504"/>
      <c r="E78" s="66"/>
      <c r="F78" s="82">
        <f>SUM(F77)</f>
        <v>18000</v>
      </c>
    </row>
    <row r="79" spans="1:7" x14ac:dyDescent="0.25">
      <c r="A79" s="13"/>
      <c r="B79" s="78"/>
      <c r="C79" s="79"/>
      <c r="D79" s="80"/>
      <c r="E79" s="66"/>
      <c r="F79" s="82"/>
    </row>
    <row r="80" spans="1:7" x14ac:dyDescent="0.25">
      <c r="A80" s="77" t="s">
        <v>50</v>
      </c>
      <c r="B80" s="56" t="s">
        <v>54</v>
      </c>
      <c r="C80" s="48"/>
      <c r="D80" s="48"/>
      <c r="E80" s="40"/>
      <c r="F80" s="83"/>
    </row>
    <row r="81" spans="1:6" ht="60" x14ac:dyDescent="0.25">
      <c r="A81" s="13">
        <v>1</v>
      </c>
      <c r="B81" s="45" t="s">
        <v>55</v>
      </c>
      <c r="C81" s="13" t="s">
        <v>52</v>
      </c>
      <c r="D81" s="14">
        <v>1</v>
      </c>
      <c r="E81" s="40">
        <v>200</v>
      </c>
      <c r="F81" s="36">
        <f t="shared" ref="F81" si="3">D81*E81</f>
        <v>200</v>
      </c>
    </row>
    <row r="82" spans="1:6" x14ac:dyDescent="0.25">
      <c r="A82" s="77"/>
      <c r="B82" s="505" t="s">
        <v>56</v>
      </c>
      <c r="C82" s="505"/>
      <c r="D82" s="505"/>
      <c r="E82" s="505"/>
      <c r="F82" s="83">
        <f>SUM(F81)</f>
        <v>200</v>
      </c>
    </row>
    <row r="83" spans="1:6" x14ac:dyDescent="0.25">
      <c r="A83" s="13"/>
      <c r="B83" s="39"/>
      <c r="C83" s="66"/>
      <c r="D83" s="66"/>
      <c r="E83" s="66"/>
      <c r="F83" s="134"/>
    </row>
    <row r="84" spans="1:6" ht="15.75" thickBot="1" x14ac:dyDescent="0.3">
      <c r="A84" s="132"/>
      <c r="B84" s="509" t="s">
        <v>49</v>
      </c>
      <c r="C84" s="510"/>
      <c r="D84" s="510"/>
      <c r="E84" s="511"/>
      <c r="F84" s="133">
        <f>F82+F78+F74+F16</f>
        <v>77532.184999999998</v>
      </c>
    </row>
    <row r="85" spans="1:6" x14ac:dyDescent="0.25">
      <c r="A85" s="13"/>
      <c r="B85" s="39"/>
      <c r="C85" s="66"/>
      <c r="D85" s="66"/>
      <c r="E85" s="40"/>
      <c r="F85" s="135"/>
    </row>
    <row r="86" spans="1:6" ht="15.75" thickBot="1" x14ac:dyDescent="0.3">
      <c r="A86" s="132"/>
      <c r="B86" s="509"/>
      <c r="C86" s="510"/>
      <c r="D86" s="510"/>
      <c r="E86" s="511"/>
      <c r="F86" s="136"/>
    </row>
    <row r="87" spans="1:6" x14ac:dyDescent="0.25">
      <c r="A87" s="87"/>
      <c r="B87" s="88"/>
      <c r="C87" s="89"/>
      <c r="D87" s="89"/>
      <c r="E87" s="90"/>
      <c r="F87" s="91"/>
    </row>
    <row r="88" spans="1:6" ht="15.75" thickBot="1" x14ac:dyDescent="0.3">
      <c r="A88" s="87"/>
      <c r="B88" s="88"/>
      <c r="C88" s="89"/>
      <c r="D88" s="89"/>
      <c r="E88" s="90"/>
      <c r="F88" s="91"/>
    </row>
    <row r="89" spans="1:6" x14ac:dyDescent="0.25">
      <c r="A89" s="92"/>
      <c r="B89" s="93" t="s">
        <v>5</v>
      </c>
      <c r="C89" s="518"/>
      <c r="D89" s="519"/>
      <c r="E89" s="519"/>
      <c r="F89" s="520"/>
    </row>
    <row r="90" spans="1:6" x14ac:dyDescent="0.25">
      <c r="A90" s="92"/>
      <c r="B90" s="93" t="s">
        <v>6</v>
      </c>
      <c r="C90" s="521"/>
      <c r="D90" s="522"/>
      <c r="E90" s="522"/>
      <c r="F90" s="523"/>
    </row>
    <row r="91" spans="1:6" x14ac:dyDescent="0.25">
      <c r="A91" s="92"/>
      <c r="B91" s="93" t="s">
        <v>7</v>
      </c>
      <c r="C91" s="524"/>
      <c r="D91" s="525"/>
      <c r="E91" s="525"/>
      <c r="F91" s="526"/>
    </row>
    <row r="92" spans="1:6" ht="15.75" thickBot="1" x14ac:dyDescent="0.3">
      <c r="A92" s="92"/>
      <c r="B92" s="93" t="s">
        <v>8</v>
      </c>
      <c r="C92" s="527"/>
      <c r="D92" s="528"/>
      <c r="E92" s="528"/>
      <c r="F92" s="529"/>
    </row>
    <row r="93" spans="1:6" x14ac:dyDescent="0.25">
      <c r="A93" s="87"/>
      <c r="B93" s="88"/>
      <c r="C93" s="89"/>
      <c r="D93" s="89"/>
      <c r="E93" s="90"/>
      <c r="F93" s="91"/>
    </row>
  </sheetData>
  <mergeCells count="12">
    <mergeCell ref="B2:F2"/>
    <mergeCell ref="B3:F3"/>
    <mergeCell ref="B4:F4"/>
    <mergeCell ref="B16:E16"/>
    <mergeCell ref="B74:E74"/>
    <mergeCell ref="B82:E82"/>
    <mergeCell ref="C90:F90"/>
    <mergeCell ref="C91:F92"/>
    <mergeCell ref="B78:D78"/>
    <mergeCell ref="B84:E84"/>
    <mergeCell ref="B86:E86"/>
    <mergeCell ref="C89:F89"/>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363FD-810D-460F-BA27-9ECE51DAA38A}">
  <dimension ref="A1:F39"/>
  <sheetViews>
    <sheetView topLeftCell="A20" workbookViewId="0">
      <selection activeCell="D24" sqref="D24"/>
    </sheetView>
  </sheetViews>
  <sheetFormatPr defaultRowHeight="15" x14ac:dyDescent="0.25"/>
  <cols>
    <col min="1" max="1" width="13" customWidth="1"/>
    <col min="2" max="2" width="38.42578125" customWidth="1"/>
    <col min="6" max="6" width="14.42578125"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58</v>
      </c>
      <c r="B3" s="512" t="s">
        <v>291</v>
      </c>
      <c r="C3" s="513"/>
      <c r="D3" s="513"/>
      <c r="E3" s="513"/>
      <c r="F3" s="514"/>
    </row>
    <row r="4" spans="1:6" ht="19.5" thickBot="1" x14ac:dyDescent="0.35">
      <c r="A4" s="107" t="s">
        <v>1</v>
      </c>
      <c r="B4" s="512" t="s">
        <v>263</v>
      </c>
      <c r="C4" s="513"/>
      <c r="D4" s="513"/>
      <c r="E4" s="513"/>
      <c r="F4" s="514"/>
    </row>
    <row r="5" spans="1:6" ht="29.25" thickTop="1" x14ac:dyDescent="0.25">
      <c r="A5" s="96" t="s">
        <v>9</v>
      </c>
      <c r="B5" s="97" t="s">
        <v>10</v>
      </c>
      <c r="C5" s="98" t="s">
        <v>3</v>
      </c>
      <c r="D5" s="98" t="s">
        <v>11</v>
      </c>
      <c r="E5" s="98" t="s">
        <v>12</v>
      </c>
      <c r="F5" s="130" t="s">
        <v>4</v>
      </c>
    </row>
    <row r="6" spans="1:6" x14ac:dyDescent="0.25">
      <c r="A6" s="101" t="s">
        <v>22</v>
      </c>
      <c r="B6" s="131" t="s">
        <v>292</v>
      </c>
      <c r="C6" s="102"/>
      <c r="D6" s="102"/>
      <c r="E6" s="102"/>
      <c r="F6" s="64"/>
    </row>
    <row r="7" spans="1:6" ht="75" x14ac:dyDescent="0.25">
      <c r="A7" s="21">
        <v>1</v>
      </c>
      <c r="B7" s="65" t="s">
        <v>293</v>
      </c>
      <c r="C7" s="21" t="s">
        <v>16</v>
      </c>
      <c r="D7" s="21">
        <v>1</v>
      </c>
      <c r="E7" s="21">
        <v>800</v>
      </c>
      <c r="F7" s="64">
        <f t="shared" ref="F7" si="0">D7*E7</f>
        <v>800</v>
      </c>
    </row>
    <row r="8" spans="1:6" x14ac:dyDescent="0.25">
      <c r="A8" s="77"/>
      <c r="B8" s="499" t="s">
        <v>294</v>
      </c>
      <c r="C8" s="500"/>
      <c r="D8" s="500"/>
      <c r="E8" s="501"/>
      <c r="F8" s="82">
        <f>SUM(F7:F7)</f>
        <v>800</v>
      </c>
    </row>
    <row r="9" spans="1:6" x14ac:dyDescent="0.25">
      <c r="A9" s="77"/>
      <c r="B9" s="112"/>
      <c r="C9" s="113"/>
      <c r="D9" s="113"/>
      <c r="E9" s="114"/>
      <c r="F9" s="82"/>
    </row>
    <row r="10" spans="1:6" x14ac:dyDescent="0.25">
      <c r="A10" s="77" t="s">
        <v>27</v>
      </c>
      <c r="B10" s="62" t="s">
        <v>295</v>
      </c>
      <c r="C10" s="34"/>
      <c r="D10" s="34"/>
      <c r="E10" s="34"/>
      <c r="F10" s="82">
        <f t="shared" ref="F10:F17" si="1">D10*E10</f>
        <v>0</v>
      </c>
    </row>
    <row r="11" spans="1:6" ht="45" x14ac:dyDescent="0.25">
      <c r="A11" s="21">
        <v>1</v>
      </c>
      <c r="B11" s="65" t="s">
        <v>296</v>
      </c>
      <c r="C11" s="21" t="s">
        <v>16</v>
      </c>
      <c r="D11" s="21">
        <v>1</v>
      </c>
      <c r="E11" s="21">
        <v>100</v>
      </c>
      <c r="F11" s="64">
        <f t="shared" si="1"/>
        <v>100</v>
      </c>
    </row>
    <row r="12" spans="1:6" ht="75" x14ac:dyDescent="0.25">
      <c r="A12" s="13">
        <v>2</v>
      </c>
      <c r="B12" s="65" t="s">
        <v>30</v>
      </c>
      <c r="C12" s="21" t="s">
        <v>13</v>
      </c>
      <c r="D12" s="21">
        <v>9.1999999999999993</v>
      </c>
      <c r="E12" s="21">
        <v>10</v>
      </c>
      <c r="F12" s="64">
        <f t="shared" si="1"/>
        <v>92</v>
      </c>
    </row>
    <row r="13" spans="1:6" ht="45" x14ac:dyDescent="0.25">
      <c r="A13" s="21">
        <v>3</v>
      </c>
      <c r="B13" s="65" t="s">
        <v>14</v>
      </c>
      <c r="C13" s="21" t="s">
        <v>17</v>
      </c>
      <c r="D13" s="21">
        <v>9.5</v>
      </c>
      <c r="E13" s="21">
        <v>4</v>
      </c>
      <c r="F13" s="64">
        <f t="shared" si="1"/>
        <v>38</v>
      </c>
    </row>
    <row r="14" spans="1:6" ht="60" x14ac:dyDescent="0.25">
      <c r="A14" s="13">
        <v>4</v>
      </c>
      <c r="B14" s="65" t="s">
        <v>297</v>
      </c>
      <c r="C14" s="66" t="s">
        <v>13</v>
      </c>
      <c r="D14" s="66">
        <v>51.24</v>
      </c>
      <c r="E14" s="66">
        <v>3</v>
      </c>
      <c r="F14" s="64">
        <f t="shared" si="1"/>
        <v>153.72</v>
      </c>
    </row>
    <row r="15" spans="1:6" ht="60" x14ac:dyDescent="0.25">
      <c r="A15" s="21">
        <v>5</v>
      </c>
      <c r="B15" s="65" t="s">
        <v>298</v>
      </c>
      <c r="C15" s="21" t="s">
        <v>13</v>
      </c>
      <c r="D15" s="21">
        <v>18.48</v>
      </c>
      <c r="E15" s="21">
        <v>4</v>
      </c>
      <c r="F15" s="64">
        <f t="shared" si="1"/>
        <v>73.92</v>
      </c>
    </row>
    <row r="16" spans="1:6" ht="30" x14ac:dyDescent="0.25">
      <c r="A16" s="13">
        <v>6</v>
      </c>
      <c r="B16" s="65" t="s">
        <v>285</v>
      </c>
      <c r="C16" s="21" t="s">
        <v>2</v>
      </c>
      <c r="D16" s="32">
        <v>2</v>
      </c>
      <c r="E16" s="21">
        <v>100</v>
      </c>
      <c r="F16" s="64">
        <f t="shared" si="1"/>
        <v>200</v>
      </c>
    </row>
    <row r="17" spans="1:6" ht="30" x14ac:dyDescent="0.25">
      <c r="A17" s="21">
        <v>7</v>
      </c>
      <c r="B17" s="65" t="s">
        <v>28</v>
      </c>
      <c r="C17" s="21" t="s">
        <v>16</v>
      </c>
      <c r="D17" s="32">
        <v>1</v>
      </c>
      <c r="E17" s="21">
        <v>800</v>
      </c>
      <c r="F17" s="64">
        <f t="shared" si="1"/>
        <v>800</v>
      </c>
    </row>
    <row r="18" spans="1:6" ht="45" x14ac:dyDescent="0.25">
      <c r="A18" s="13">
        <v>8</v>
      </c>
      <c r="B18" s="65" t="s">
        <v>277</v>
      </c>
      <c r="C18" s="21" t="s">
        <v>2</v>
      </c>
      <c r="D18" s="21">
        <v>2</v>
      </c>
      <c r="E18" s="21">
        <v>150</v>
      </c>
      <c r="F18" s="64">
        <f>D18*E18</f>
        <v>300</v>
      </c>
    </row>
    <row r="19" spans="1:6" ht="30" x14ac:dyDescent="0.25">
      <c r="A19" s="21">
        <v>9</v>
      </c>
      <c r="B19" s="65" t="s">
        <v>31</v>
      </c>
      <c r="C19" s="21" t="s">
        <v>2</v>
      </c>
      <c r="D19" s="21">
        <v>2</v>
      </c>
      <c r="E19" s="21">
        <v>150</v>
      </c>
      <c r="F19" s="64">
        <f>D19*E19</f>
        <v>300</v>
      </c>
    </row>
    <row r="20" spans="1:6" ht="45" x14ac:dyDescent="0.25">
      <c r="A20" s="13">
        <v>10</v>
      </c>
      <c r="B20" s="65" t="s">
        <v>279</v>
      </c>
      <c r="C20" s="120" t="s">
        <v>73</v>
      </c>
      <c r="D20" s="120">
        <v>1</v>
      </c>
      <c r="E20" s="121">
        <v>200</v>
      </c>
      <c r="F20" s="64">
        <f>D20*E20</f>
        <v>200</v>
      </c>
    </row>
    <row r="21" spans="1:6" x14ac:dyDescent="0.25">
      <c r="A21" s="77"/>
      <c r="B21" s="502" t="s">
        <v>34</v>
      </c>
      <c r="C21" s="503"/>
      <c r="D21" s="503"/>
      <c r="E21" s="504"/>
      <c r="F21" s="82">
        <f>SUM(F14:F20)</f>
        <v>2027.6399999999999</v>
      </c>
    </row>
    <row r="22" spans="1:6" x14ac:dyDescent="0.25">
      <c r="A22" s="77"/>
      <c r="B22" s="78"/>
      <c r="C22" s="79"/>
      <c r="D22" s="79"/>
      <c r="E22" s="80"/>
      <c r="F22" s="82"/>
    </row>
    <row r="23" spans="1:6" x14ac:dyDescent="0.25">
      <c r="A23" s="77" t="s">
        <v>50</v>
      </c>
      <c r="B23" s="41" t="s">
        <v>32</v>
      </c>
      <c r="C23" s="34"/>
      <c r="D23" s="34"/>
      <c r="E23" s="34"/>
      <c r="F23" s="82"/>
    </row>
    <row r="24" spans="1:6" ht="150" x14ac:dyDescent="0.25">
      <c r="A24" s="13">
        <v>1</v>
      </c>
      <c r="B24" s="39" t="s">
        <v>82</v>
      </c>
      <c r="C24" s="21" t="s">
        <v>29</v>
      </c>
      <c r="D24" s="66">
        <f>5*15</f>
        <v>75</v>
      </c>
      <c r="E24" s="66">
        <v>120</v>
      </c>
      <c r="F24" s="64">
        <f>D24*E24</f>
        <v>9000</v>
      </c>
    </row>
    <row r="25" spans="1:6" x14ac:dyDescent="0.25">
      <c r="A25" s="13"/>
      <c r="B25" s="502" t="s">
        <v>33</v>
      </c>
      <c r="C25" s="503"/>
      <c r="D25" s="504"/>
      <c r="E25" s="66"/>
      <c r="F25" s="82">
        <f>SUM(F24)</f>
        <v>9000</v>
      </c>
    </row>
    <row r="26" spans="1:6" x14ac:dyDescent="0.25">
      <c r="A26" s="13"/>
      <c r="B26" s="39"/>
      <c r="C26" s="66"/>
      <c r="D26" s="66"/>
      <c r="E26" s="66"/>
      <c r="F26" s="64"/>
    </row>
    <row r="27" spans="1:6" x14ac:dyDescent="0.25">
      <c r="A27" s="77" t="s">
        <v>50</v>
      </c>
      <c r="B27" s="56" t="s">
        <v>54</v>
      </c>
      <c r="C27" s="48"/>
      <c r="D27" s="48"/>
      <c r="E27" s="40"/>
      <c r="F27" s="83"/>
    </row>
    <row r="28" spans="1:6" ht="75" x14ac:dyDescent="0.25">
      <c r="A28" s="13">
        <v>1</v>
      </c>
      <c r="B28" s="45" t="s">
        <v>55</v>
      </c>
      <c r="C28" s="13" t="s">
        <v>52</v>
      </c>
      <c r="D28" s="14">
        <v>1</v>
      </c>
      <c r="E28" s="40">
        <v>200</v>
      </c>
      <c r="F28" s="36">
        <f t="shared" ref="F28" si="2">D28*E28</f>
        <v>200</v>
      </c>
    </row>
    <row r="29" spans="1:6" x14ac:dyDescent="0.25">
      <c r="A29" s="77"/>
      <c r="B29" s="505" t="s">
        <v>56</v>
      </c>
      <c r="C29" s="505"/>
      <c r="D29" s="505"/>
      <c r="E29" s="505"/>
      <c r="F29" s="83">
        <f>SUM(F28)</f>
        <v>200</v>
      </c>
    </row>
    <row r="30" spans="1:6" x14ac:dyDescent="0.25">
      <c r="A30" s="13"/>
      <c r="B30" s="39"/>
      <c r="C30" s="66"/>
      <c r="D30" s="66"/>
      <c r="E30" s="66"/>
      <c r="F30" s="64"/>
    </row>
    <row r="31" spans="1:6" x14ac:dyDescent="0.25">
      <c r="A31" s="13"/>
      <c r="B31" s="39"/>
      <c r="C31" s="66"/>
      <c r="D31" s="66"/>
      <c r="E31" s="66"/>
      <c r="F31" s="134"/>
    </row>
    <row r="32" spans="1:6" ht="15.75" thickBot="1" x14ac:dyDescent="0.3">
      <c r="A32" s="132"/>
      <c r="B32" s="509" t="s">
        <v>49</v>
      </c>
      <c r="C32" s="510"/>
      <c r="D32" s="510"/>
      <c r="E32" s="511"/>
      <c r="F32" s="133">
        <f>F25+F21+F8</f>
        <v>11827.64</v>
      </c>
    </row>
    <row r="33" spans="1:6" x14ac:dyDescent="0.25">
      <c r="A33" s="87"/>
      <c r="B33" s="88"/>
      <c r="C33" s="89"/>
      <c r="D33" s="89"/>
      <c r="E33" s="89"/>
      <c r="F33" s="126"/>
    </row>
    <row r="34" spans="1:6" ht="15.75" thickBot="1" x14ac:dyDescent="0.3">
      <c r="A34" s="87"/>
      <c r="B34" s="88"/>
      <c r="C34" s="89"/>
      <c r="D34" s="89"/>
      <c r="E34" s="89"/>
      <c r="F34" s="126"/>
    </row>
    <row r="35" spans="1:6" x14ac:dyDescent="0.25">
      <c r="A35" s="92"/>
      <c r="B35" s="93" t="s">
        <v>5</v>
      </c>
      <c r="C35" s="487"/>
      <c r="D35" s="488"/>
      <c r="E35" s="488"/>
      <c r="F35" s="489"/>
    </row>
    <row r="36" spans="1:6" x14ac:dyDescent="0.25">
      <c r="A36" s="92"/>
      <c r="B36" s="93" t="s">
        <v>6</v>
      </c>
      <c r="C36" s="490"/>
      <c r="D36" s="491"/>
      <c r="E36" s="491"/>
      <c r="F36" s="492"/>
    </row>
    <row r="37" spans="1:6" x14ac:dyDescent="0.25">
      <c r="A37" s="92"/>
      <c r="B37" s="93" t="s">
        <v>7</v>
      </c>
      <c r="C37" s="490"/>
      <c r="D37" s="491"/>
      <c r="E37" s="491"/>
      <c r="F37" s="492"/>
    </row>
    <row r="38" spans="1:6" ht="15.75" thickBot="1" x14ac:dyDescent="0.3">
      <c r="A38" s="92"/>
      <c r="B38" s="93" t="s">
        <v>8</v>
      </c>
      <c r="C38" s="493"/>
      <c r="D38" s="494"/>
      <c r="E38" s="494"/>
      <c r="F38" s="495"/>
    </row>
    <row r="39" spans="1:6" x14ac:dyDescent="0.25">
      <c r="A39" s="87"/>
      <c r="B39" s="88"/>
      <c r="C39" s="89"/>
      <c r="D39" s="89"/>
      <c r="E39" s="89"/>
      <c r="F39" s="126"/>
    </row>
  </sheetData>
  <mergeCells count="11">
    <mergeCell ref="B21:E21"/>
    <mergeCell ref="B2:F2"/>
    <mergeCell ref="B3:F3"/>
    <mergeCell ref="B4:F4"/>
    <mergeCell ref="B8:E8"/>
    <mergeCell ref="B25:D25"/>
    <mergeCell ref="B32:E32"/>
    <mergeCell ref="C35:F35"/>
    <mergeCell ref="C36:F36"/>
    <mergeCell ref="C37:F38"/>
    <mergeCell ref="B29:E2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D9979-F74C-4C2A-834B-A24D074E2A23}">
  <dimension ref="A1:J11"/>
  <sheetViews>
    <sheetView view="pageBreakPreview" topLeftCell="C3" zoomScale="60" zoomScaleNormal="100" workbookViewId="0">
      <selection activeCell="H12" sqref="H12"/>
    </sheetView>
  </sheetViews>
  <sheetFormatPr defaultRowHeight="15" x14ac:dyDescent="0.25"/>
  <cols>
    <col min="3" max="3" width="11.140625" customWidth="1"/>
    <col min="4" max="4" width="27.140625" bestFit="1" customWidth="1"/>
  </cols>
  <sheetData>
    <row r="1" spans="1:10" ht="15.75" thickBot="1" x14ac:dyDescent="0.3">
      <c r="A1" s="177"/>
      <c r="B1" s="177"/>
      <c r="C1" s="177"/>
      <c r="D1" s="177"/>
      <c r="E1" s="177"/>
      <c r="F1" s="177"/>
      <c r="G1" s="177"/>
      <c r="H1" s="177"/>
      <c r="I1" s="177"/>
      <c r="J1" s="177"/>
    </row>
    <row r="2" spans="1:10" x14ac:dyDescent="0.25">
      <c r="A2" s="413"/>
      <c r="B2" s="412"/>
      <c r="C2" s="416" t="s">
        <v>41</v>
      </c>
      <c r="D2" s="417"/>
      <c r="E2" s="417"/>
      <c r="F2" s="417"/>
      <c r="G2" s="417"/>
      <c r="H2" s="417"/>
      <c r="I2" s="417"/>
      <c r="J2" s="418"/>
    </row>
    <row r="3" spans="1:10" ht="15" customHeight="1" thickBot="1" x14ac:dyDescent="0.3">
      <c r="A3" s="414"/>
      <c r="B3" s="415"/>
      <c r="C3" s="413" t="s">
        <v>35</v>
      </c>
      <c r="D3" s="412" t="s">
        <v>36</v>
      </c>
      <c r="E3" s="412" t="s">
        <v>37</v>
      </c>
      <c r="F3" s="412"/>
      <c r="G3" s="412" t="s">
        <v>40</v>
      </c>
      <c r="H3" s="412"/>
      <c r="I3" s="419" t="s">
        <v>61</v>
      </c>
      <c r="J3" s="420"/>
    </row>
    <row r="4" spans="1:10" ht="31.5" customHeight="1" thickBot="1" x14ac:dyDescent="0.3">
      <c r="A4" s="376"/>
      <c r="B4" s="371"/>
      <c r="C4" s="414"/>
      <c r="D4" s="415"/>
      <c r="E4" s="178" t="s">
        <v>38</v>
      </c>
      <c r="F4" s="178" t="s">
        <v>39</v>
      </c>
      <c r="G4" s="178" t="s">
        <v>38</v>
      </c>
      <c r="H4" s="216" t="s">
        <v>39</v>
      </c>
      <c r="I4" s="178" t="s">
        <v>38</v>
      </c>
      <c r="J4" s="178" t="s">
        <v>39</v>
      </c>
    </row>
    <row r="5" spans="1:10" ht="15.75" thickBot="1" x14ac:dyDescent="0.3">
      <c r="A5" s="376"/>
      <c r="B5" s="371"/>
      <c r="C5" s="374">
        <v>1</v>
      </c>
      <c r="D5" s="374" t="s">
        <v>235</v>
      </c>
      <c r="E5" s="377"/>
      <c r="F5" s="377">
        <v>5</v>
      </c>
      <c r="G5" s="377">
        <v>0</v>
      </c>
      <c r="H5" s="378">
        <v>4</v>
      </c>
      <c r="I5" s="377">
        <v>0</v>
      </c>
      <c r="J5" s="377">
        <v>1</v>
      </c>
    </row>
    <row r="6" spans="1:10" ht="15.75" thickBot="1" x14ac:dyDescent="0.3">
      <c r="A6" s="376"/>
      <c r="B6" s="371"/>
      <c r="C6" s="374">
        <v>2</v>
      </c>
      <c r="D6" s="375" t="s">
        <v>145</v>
      </c>
      <c r="E6" s="377"/>
      <c r="F6" s="377">
        <v>10</v>
      </c>
      <c r="G6" s="377">
        <v>0</v>
      </c>
      <c r="H6" s="378">
        <v>3</v>
      </c>
      <c r="I6" s="377">
        <v>0</v>
      </c>
      <c r="J6" s="377"/>
    </row>
    <row r="7" spans="1:10" ht="15.75" thickBot="1" x14ac:dyDescent="0.3">
      <c r="A7" s="376"/>
      <c r="B7" s="371"/>
      <c r="C7" s="374">
        <v>3</v>
      </c>
      <c r="D7" s="375" t="s">
        <v>255</v>
      </c>
      <c r="E7" s="377"/>
      <c r="F7" s="377">
        <v>8</v>
      </c>
      <c r="G7" s="377">
        <v>0</v>
      </c>
      <c r="H7" s="378">
        <v>5</v>
      </c>
      <c r="I7" s="377">
        <v>0</v>
      </c>
      <c r="J7" s="377"/>
    </row>
    <row r="8" spans="1:10" x14ac:dyDescent="0.25">
      <c r="A8" s="376"/>
      <c r="B8" s="379"/>
      <c r="C8" s="374">
        <v>4</v>
      </c>
      <c r="D8" s="374" t="s">
        <v>262</v>
      </c>
      <c r="E8" s="377">
        <v>1</v>
      </c>
      <c r="F8" s="377"/>
      <c r="G8" s="377">
        <v>0</v>
      </c>
      <c r="H8" s="378">
        <v>0</v>
      </c>
      <c r="I8" s="377">
        <v>0</v>
      </c>
      <c r="J8" s="377"/>
    </row>
    <row r="9" spans="1:10" x14ac:dyDescent="0.25">
      <c r="A9" s="386"/>
      <c r="B9" s="379"/>
      <c r="C9" s="374">
        <v>5</v>
      </c>
      <c r="D9" s="374" t="s">
        <v>239</v>
      </c>
      <c r="E9" s="380">
        <v>2</v>
      </c>
      <c r="F9" s="380"/>
      <c r="G9" s="380">
        <v>0</v>
      </c>
      <c r="H9" s="381">
        <v>2</v>
      </c>
      <c r="I9" s="380">
        <v>0</v>
      </c>
      <c r="J9" s="380"/>
    </row>
    <row r="10" spans="1:10" x14ac:dyDescent="0.25">
      <c r="A10" s="386"/>
      <c r="B10" s="379"/>
      <c r="C10" s="374">
        <v>6</v>
      </c>
      <c r="D10" s="374" t="s">
        <v>242</v>
      </c>
      <c r="E10" s="380">
        <v>2</v>
      </c>
      <c r="F10" s="380"/>
      <c r="G10" s="380">
        <v>0</v>
      </c>
      <c r="H10" s="381">
        <v>4</v>
      </c>
      <c r="I10" s="380">
        <v>0</v>
      </c>
      <c r="J10" s="380"/>
    </row>
    <row r="11" spans="1:10" ht="15.75" thickBot="1" x14ac:dyDescent="0.3">
      <c r="C11" s="382"/>
      <c r="D11" s="383" t="s">
        <v>47</v>
      </c>
      <c r="E11" s="384">
        <f t="shared" ref="E11:J11" si="0">SUM(E5:E10)</f>
        <v>5</v>
      </c>
      <c r="F11" s="384">
        <f t="shared" si="0"/>
        <v>23</v>
      </c>
      <c r="G11" s="384">
        <f t="shared" si="0"/>
        <v>0</v>
      </c>
      <c r="H11" s="385">
        <f t="shared" si="0"/>
        <v>18</v>
      </c>
      <c r="I11" s="384">
        <f t="shared" si="0"/>
        <v>0</v>
      </c>
      <c r="J11" s="384">
        <f t="shared" si="0"/>
        <v>1</v>
      </c>
    </row>
  </sheetData>
  <mergeCells count="8">
    <mergeCell ref="G3:H3"/>
    <mergeCell ref="A2:A3"/>
    <mergeCell ref="B2:B3"/>
    <mergeCell ref="C3:C4"/>
    <mergeCell ref="D3:D4"/>
    <mergeCell ref="E3:F3"/>
    <mergeCell ref="C2:J2"/>
    <mergeCell ref="I3:J3"/>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74E70-79F1-4569-804E-A425D0EFBBC1}">
  <dimension ref="A1"/>
  <sheetViews>
    <sheetView workbookViewId="0">
      <selection activeCell="P17" sqref="P17"/>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2C956-0F9A-4540-9A7E-61DCB25721DE}">
  <dimension ref="B1:CI58"/>
  <sheetViews>
    <sheetView topLeftCell="A38" zoomScale="80" zoomScaleNormal="80" workbookViewId="0">
      <pane xSplit="3" topLeftCell="G1" activePane="topRight" state="frozen"/>
      <selection pane="topRight" activeCell="D54" sqref="D54:R57"/>
    </sheetView>
  </sheetViews>
  <sheetFormatPr defaultColWidth="11.85546875" defaultRowHeight="15" x14ac:dyDescent="0.25"/>
  <cols>
    <col min="1" max="2" width="11.85546875" style="19"/>
    <col min="3" max="3" width="30.5703125" style="19" customWidth="1"/>
    <col min="4" max="4" width="11.85546875" style="129"/>
    <col min="5" max="5" width="13.7109375" style="129" customWidth="1"/>
    <col min="6" max="6" width="14.85546875" style="129" customWidth="1"/>
    <col min="7" max="7" width="13.7109375" style="222" customWidth="1"/>
    <col min="8" max="8" width="16.140625" style="129" customWidth="1"/>
    <col min="9" max="9" width="18.5703125" style="129" customWidth="1"/>
    <col min="10" max="11" width="0" style="129" hidden="1" customWidth="1"/>
    <col min="12" max="12" width="13.5703125" style="129" hidden="1" customWidth="1"/>
    <col min="13" max="15" width="0" style="129" hidden="1" customWidth="1"/>
    <col min="16" max="16" width="0" style="204" hidden="1" customWidth="1"/>
    <col min="17" max="17" width="0" style="19" hidden="1" customWidth="1"/>
    <col min="18" max="29" width="11.85546875" style="19"/>
    <col min="30" max="30" width="16.85546875" style="19" customWidth="1"/>
    <col min="31" max="31" width="9.28515625" style="19" customWidth="1"/>
    <col min="32" max="32" width="9.85546875" style="19" customWidth="1"/>
    <col min="33" max="33" width="5.42578125" style="19" customWidth="1"/>
    <col min="34" max="34" width="15.85546875" style="19" customWidth="1"/>
    <col min="35" max="35" width="15.42578125" style="19" customWidth="1"/>
    <col min="36" max="36" width="22.140625" style="19" customWidth="1"/>
    <col min="37" max="37" width="31.42578125" style="19" customWidth="1"/>
    <col min="38" max="16384" width="11.85546875" style="19"/>
  </cols>
  <sheetData>
    <row r="1" spans="2:17" x14ac:dyDescent="0.25">
      <c r="B1" s="177" t="s">
        <v>41</v>
      </c>
      <c r="C1" s="177"/>
      <c r="D1" s="177"/>
      <c r="E1" s="177"/>
      <c r="F1" s="177"/>
      <c r="G1" s="177"/>
      <c r="H1" s="177"/>
      <c r="I1" s="177"/>
      <c r="J1" s="177"/>
      <c r="K1" s="177"/>
      <c r="L1" s="177"/>
      <c r="M1" s="177"/>
      <c r="N1" s="177"/>
      <c r="O1" s="177"/>
      <c r="P1" s="177"/>
    </row>
    <row r="2" spans="2:17" s="116" customFormat="1" ht="14.25" x14ac:dyDescent="0.2">
      <c r="B2" s="413" t="s">
        <v>35</v>
      </c>
      <c r="C2" s="412" t="s">
        <v>36</v>
      </c>
      <c r="D2" s="412" t="s">
        <v>37</v>
      </c>
      <c r="E2" s="412"/>
      <c r="F2" s="412" t="s">
        <v>40</v>
      </c>
      <c r="G2" s="412"/>
      <c r="H2" s="419" t="s">
        <v>61</v>
      </c>
      <c r="I2" s="420"/>
      <c r="J2" s="419" t="s">
        <v>42</v>
      </c>
      <c r="K2" s="420"/>
      <c r="L2" s="423" t="s">
        <v>44</v>
      </c>
      <c r="M2" s="433" t="s">
        <v>43</v>
      </c>
      <c r="N2" s="423" t="s">
        <v>45</v>
      </c>
      <c r="O2" s="423" t="s">
        <v>46</v>
      </c>
      <c r="P2" s="435" t="s">
        <v>48</v>
      </c>
      <c r="Q2" s="432" t="s">
        <v>100</v>
      </c>
    </row>
    <row r="3" spans="2:17" s="116" customFormat="1" thickBot="1" x14ac:dyDescent="0.25">
      <c r="B3" s="414"/>
      <c r="C3" s="415"/>
      <c r="D3" s="178" t="s">
        <v>38</v>
      </c>
      <c r="E3" s="178" t="s">
        <v>39</v>
      </c>
      <c r="F3" s="178" t="s">
        <v>38</v>
      </c>
      <c r="G3" s="216" t="s">
        <v>39</v>
      </c>
      <c r="H3" s="178" t="s">
        <v>38</v>
      </c>
      <c r="I3" s="178" t="s">
        <v>39</v>
      </c>
      <c r="J3" s="178" t="s">
        <v>38</v>
      </c>
      <c r="K3" s="178" t="s">
        <v>39</v>
      </c>
      <c r="L3" s="424"/>
      <c r="M3" s="434"/>
      <c r="N3" s="424"/>
      <c r="O3" s="424"/>
      <c r="P3" s="436"/>
      <c r="Q3" s="432"/>
    </row>
    <row r="4" spans="2:17" ht="15.75" thickBot="1" x14ac:dyDescent="0.3">
      <c r="B4" s="179">
        <v>1</v>
      </c>
      <c r="C4" s="180" t="s">
        <v>235</v>
      </c>
      <c r="D4" s="177"/>
      <c r="E4" s="177">
        <v>5</v>
      </c>
      <c r="F4" s="177"/>
      <c r="G4" s="217">
        <v>4</v>
      </c>
      <c r="H4" s="177"/>
      <c r="I4" s="177">
        <v>1</v>
      </c>
      <c r="J4" s="177"/>
      <c r="K4" s="177"/>
      <c r="L4" s="177"/>
      <c r="M4" s="177"/>
      <c r="N4" s="177"/>
      <c r="O4" s="177">
        <v>5</v>
      </c>
      <c r="P4" s="181"/>
    </row>
    <row r="5" spans="2:17" ht="15.75" thickBot="1" x14ac:dyDescent="0.3">
      <c r="B5" s="179">
        <v>2</v>
      </c>
      <c r="C5" s="182" t="s">
        <v>145</v>
      </c>
      <c r="D5" s="13"/>
      <c r="E5" s="13">
        <v>10</v>
      </c>
      <c r="F5" s="13"/>
      <c r="G5" s="361">
        <v>3</v>
      </c>
      <c r="H5" s="13">
        <v>0</v>
      </c>
      <c r="I5" s="13"/>
      <c r="J5" s="13"/>
      <c r="K5" s="13"/>
      <c r="L5" s="38"/>
      <c r="M5" s="13"/>
      <c r="N5" s="13"/>
      <c r="O5" s="13">
        <v>7</v>
      </c>
      <c r="P5" s="183"/>
      <c r="Q5" s="19" t="s">
        <v>365</v>
      </c>
    </row>
    <row r="6" spans="2:17" ht="15.75" thickBot="1" x14ac:dyDescent="0.3">
      <c r="B6" s="179"/>
      <c r="C6" s="362" t="s">
        <v>255</v>
      </c>
      <c r="D6" s="13"/>
      <c r="E6" s="13">
        <v>7</v>
      </c>
      <c r="F6" s="13"/>
      <c r="G6" s="343">
        <v>5</v>
      </c>
      <c r="H6" s="33"/>
      <c r="I6" s="13"/>
      <c r="J6" s="13">
        <v>3</v>
      </c>
      <c r="K6" s="13"/>
      <c r="L6" s="38">
        <v>5</v>
      </c>
      <c r="M6" s="13"/>
      <c r="N6" s="13"/>
      <c r="O6" s="13"/>
      <c r="P6" s="183"/>
    </row>
    <row r="7" spans="2:17" ht="15.75" thickBot="1" x14ac:dyDescent="0.3">
      <c r="B7" s="179">
        <v>5</v>
      </c>
      <c r="C7" s="48" t="s">
        <v>257</v>
      </c>
      <c r="D7" s="13">
        <v>3</v>
      </c>
      <c r="E7" s="359"/>
      <c r="F7" s="13"/>
      <c r="G7" s="218"/>
      <c r="H7" s="13"/>
      <c r="I7" s="13"/>
      <c r="J7" s="13"/>
      <c r="K7" s="13"/>
      <c r="L7" s="13"/>
      <c r="M7" s="13"/>
      <c r="N7" s="13"/>
      <c r="O7" s="13">
        <v>5</v>
      </c>
      <c r="P7" s="183"/>
    </row>
    <row r="8" spans="2:17" ht="15.75" thickBot="1" x14ac:dyDescent="0.3">
      <c r="B8" s="179">
        <v>6</v>
      </c>
      <c r="C8" s="48" t="s">
        <v>260</v>
      </c>
      <c r="D8" s="13">
        <v>4</v>
      </c>
      <c r="E8" s="359"/>
      <c r="F8" s="13"/>
      <c r="G8" s="218">
        <v>4</v>
      </c>
      <c r="H8" s="13"/>
      <c r="I8" s="13"/>
      <c r="J8" s="13"/>
      <c r="K8" s="13"/>
      <c r="L8" s="13"/>
      <c r="M8" s="13"/>
      <c r="N8" s="13"/>
      <c r="O8" s="13">
        <v>7</v>
      </c>
      <c r="P8" s="183"/>
      <c r="Q8" s="118"/>
    </row>
    <row r="9" spans="2:17" ht="15.75" thickBot="1" x14ac:dyDescent="0.3">
      <c r="B9" s="179">
        <v>9</v>
      </c>
      <c r="C9" s="48" t="s">
        <v>181</v>
      </c>
      <c r="D9" s="13">
        <v>3</v>
      </c>
      <c r="E9" s="13"/>
      <c r="F9" s="13">
        <v>0</v>
      </c>
      <c r="G9" s="218"/>
      <c r="H9" s="13"/>
      <c r="I9" s="13"/>
      <c r="J9" s="13"/>
      <c r="K9" s="13"/>
      <c r="L9" s="13"/>
      <c r="M9" s="13"/>
      <c r="N9" s="13"/>
      <c r="O9" s="13">
        <v>2</v>
      </c>
      <c r="P9" s="183"/>
      <c r="Q9" s="19" t="s">
        <v>367</v>
      </c>
    </row>
    <row r="10" spans="2:17" ht="15.75" thickBot="1" x14ac:dyDescent="0.3">
      <c r="B10" s="179">
        <v>10</v>
      </c>
      <c r="C10" s="48" t="s">
        <v>234</v>
      </c>
      <c r="D10" s="13">
        <v>2</v>
      </c>
      <c r="E10" s="13"/>
      <c r="F10" s="13">
        <v>2</v>
      </c>
      <c r="G10" s="218"/>
      <c r="H10" s="13"/>
      <c r="I10" s="13"/>
      <c r="J10" s="13"/>
      <c r="K10" s="13"/>
      <c r="L10" s="13"/>
      <c r="M10" s="13"/>
      <c r="N10" s="13"/>
      <c r="O10" s="13">
        <v>2</v>
      </c>
      <c r="P10" s="183"/>
    </row>
    <row r="11" spans="2:17" ht="15.75" thickBot="1" x14ac:dyDescent="0.3">
      <c r="B11" s="179">
        <v>11</v>
      </c>
      <c r="C11" s="48" t="s">
        <v>254</v>
      </c>
      <c r="D11" s="13">
        <v>3</v>
      </c>
      <c r="E11" s="13"/>
      <c r="F11" s="13">
        <v>0</v>
      </c>
      <c r="G11" s="218"/>
      <c r="H11" s="13"/>
      <c r="I11" s="13"/>
      <c r="J11" s="13"/>
      <c r="K11" s="13"/>
      <c r="L11" s="13"/>
      <c r="M11" s="13"/>
      <c r="N11" s="13"/>
      <c r="O11" s="13">
        <v>5</v>
      </c>
      <c r="P11" s="183"/>
    </row>
    <row r="12" spans="2:17" s="234" customFormat="1" ht="15.75" thickBot="1" x14ac:dyDescent="0.3">
      <c r="B12" s="229">
        <v>12</v>
      </c>
      <c r="C12" s="230" t="s">
        <v>262</v>
      </c>
      <c r="D12" s="231">
        <v>1</v>
      </c>
      <c r="E12" s="231"/>
      <c r="F12" s="231"/>
      <c r="G12" s="232"/>
      <c r="H12" s="231"/>
      <c r="I12" s="231"/>
      <c r="J12" s="231"/>
      <c r="K12" s="231"/>
      <c r="L12" s="231"/>
      <c r="M12" s="231"/>
      <c r="N12" s="231"/>
      <c r="O12" s="231">
        <v>3</v>
      </c>
      <c r="P12" s="233"/>
    </row>
    <row r="13" spans="2:17" s="234" customFormat="1" ht="15.75" thickBot="1" x14ac:dyDescent="0.3">
      <c r="B13" s="179">
        <v>13</v>
      </c>
      <c r="C13" s="230" t="s">
        <v>239</v>
      </c>
      <c r="D13" s="231">
        <v>2</v>
      </c>
      <c r="E13" s="231"/>
      <c r="F13" s="231"/>
      <c r="G13" s="232">
        <v>3</v>
      </c>
      <c r="H13" s="231"/>
      <c r="I13" s="231"/>
      <c r="J13" s="231"/>
      <c r="K13" s="231"/>
      <c r="L13" s="231"/>
      <c r="M13" s="231"/>
      <c r="N13" s="231"/>
      <c r="O13" s="231">
        <v>5</v>
      </c>
      <c r="P13" s="233"/>
    </row>
    <row r="14" spans="2:17" s="234" customFormat="1" ht="15.75" thickBot="1" x14ac:dyDescent="0.3">
      <c r="B14" s="179">
        <v>14</v>
      </c>
      <c r="C14" s="230" t="s">
        <v>242</v>
      </c>
      <c r="D14" s="231">
        <v>2</v>
      </c>
      <c r="E14" s="231"/>
      <c r="F14" s="231"/>
      <c r="G14" s="232">
        <v>4</v>
      </c>
      <c r="H14" s="231"/>
      <c r="I14" s="231"/>
      <c r="J14" s="231"/>
      <c r="K14" s="231"/>
      <c r="L14" s="231"/>
      <c r="M14" s="231"/>
      <c r="N14" s="231"/>
      <c r="O14" s="231">
        <v>5</v>
      </c>
      <c r="P14" s="233"/>
    </row>
    <row r="15" spans="2:17" s="234" customFormat="1" ht="15.75" thickBot="1" x14ac:dyDescent="0.3">
      <c r="B15" s="179">
        <v>15</v>
      </c>
      <c r="C15" s="230" t="s">
        <v>258</v>
      </c>
      <c r="D15" s="231">
        <v>4</v>
      </c>
      <c r="E15" s="231"/>
      <c r="F15" s="359">
        <v>4</v>
      </c>
      <c r="G15" s="232"/>
      <c r="H15" s="231"/>
      <c r="I15" s="231">
        <v>1</v>
      </c>
      <c r="J15" s="231"/>
      <c r="K15" s="231"/>
      <c r="L15" s="231"/>
      <c r="M15" s="231"/>
      <c r="N15" s="231"/>
      <c r="O15" s="231">
        <v>4</v>
      </c>
      <c r="P15" s="233"/>
    </row>
    <row r="16" spans="2:17" s="234" customFormat="1" ht="15.75" thickBot="1" x14ac:dyDescent="0.3">
      <c r="B16" s="179">
        <v>16</v>
      </c>
      <c r="C16" s="230" t="s">
        <v>316</v>
      </c>
      <c r="D16" s="231">
        <v>6</v>
      </c>
      <c r="E16" s="231"/>
      <c r="F16" s="231">
        <v>0</v>
      </c>
      <c r="G16" s="232">
        <v>4</v>
      </c>
      <c r="H16" s="231"/>
      <c r="I16" s="231"/>
      <c r="J16" s="231"/>
      <c r="K16" s="231"/>
      <c r="L16" s="231"/>
      <c r="M16" s="231"/>
      <c r="N16" s="231"/>
      <c r="O16" s="231">
        <v>6</v>
      </c>
      <c r="P16" s="233"/>
      <c r="Q16" s="234" t="s">
        <v>368</v>
      </c>
    </row>
    <row r="17" spans="2:37" s="213" customFormat="1" ht="15.75" thickBot="1" x14ac:dyDescent="0.3">
      <c r="B17" s="179">
        <v>19</v>
      </c>
      <c r="C17" s="206" t="s">
        <v>253</v>
      </c>
      <c r="D17" s="210">
        <v>10</v>
      </c>
      <c r="E17" s="210"/>
      <c r="F17" s="359">
        <v>4</v>
      </c>
      <c r="G17" s="219"/>
      <c r="H17" s="210"/>
      <c r="I17" s="210"/>
      <c r="J17" s="210"/>
      <c r="K17" s="210"/>
      <c r="L17" s="210"/>
      <c r="M17" s="210"/>
      <c r="N17" s="210"/>
      <c r="O17" s="210">
        <v>6</v>
      </c>
      <c r="P17" s="212"/>
      <c r="Q17" s="213" t="s">
        <v>370</v>
      </c>
    </row>
    <row r="18" spans="2:37" s="213" customFormat="1" ht="15.75" thickBot="1" x14ac:dyDescent="0.3">
      <c r="B18" s="179">
        <v>20</v>
      </c>
      <c r="C18" s="206" t="s">
        <v>244</v>
      </c>
      <c r="D18" s="210">
        <v>10</v>
      </c>
      <c r="E18" s="210"/>
      <c r="F18" s="359">
        <v>4</v>
      </c>
      <c r="G18" s="219"/>
      <c r="H18" s="210">
        <v>1</v>
      </c>
      <c r="I18" s="210"/>
      <c r="J18" s="210"/>
      <c r="K18" s="210"/>
      <c r="L18" s="210"/>
      <c r="M18" s="210"/>
      <c r="N18" s="210"/>
      <c r="O18" s="210">
        <v>8</v>
      </c>
      <c r="P18" s="212"/>
      <c r="Q18" s="213" t="s">
        <v>366</v>
      </c>
    </row>
    <row r="19" spans="2:37" s="227" customFormat="1" ht="15.75" thickBot="1" x14ac:dyDescent="0.3">
      <c r="B19" s="179">
        <v>21</v>
      </c>
      <c r="C19" s="223" t="s">
        <v>233</v>
      </c>
      <c r="D19" s="224">
        <v>3</v>
      </c>
      <c r="E19" s="224"/>
      <c r="F19" s="224">
        <v>2</v>
      </c>
      <c r="G19" s="225"/>
      <c r="H19" s="224"/>
      <c r="I19" s="224"/>
      <c r="J19" s="224"/>
      <c r="K19" s="224"/>
      <c r="L19" s="224"/>
      <c r="M19" s="224"/>
      <c r="N19" s="224"/>
      <c r="O19" s="224">
        <v>3</v>
      </c>
      <c r="P19" s="226"/>
      <c r="Q19" s="227" t="s">
        <v>367</v>
      </c>
    </row>
    <row r="20" spans="2:37" s="227" customFormat="1" ht="15.75" thickBot="1" x14ac:dyDescent="0.3">
      <c r="B20" s="179">
        <v>22</v>
      </c>
      <c r="C20" s="223" t="s">
        <v>245</v>
      </c>
      <c r="D20" s="224">
        <v>3</v>
      </c>
      <c r="E20" s="224"/>
      <c r="F20" s="224">
        <v>2</v>
      </c>
      <c r="G20" s="225"/>
      <c r="H20" s="224"/>
      <c r="I20" s="224"/>
      <c r="J20" s="224"/>
      <c r="K20" s="224"/>
      <c r="L20" s="224"/>
      <c r="M20" s="224"/>
      <c r="N20" s="224"/>
      <c r="O20" s="224">
        <v>2</v>
      </c>
      <c r="P20" s="226"/>
      <c r="Q20" s="227" t="s">
        <v>367</v>
      </c>
    </row>
    <row r="21" spans="2:37" s="227" customFormat="1" ht="15.75" thickBot="1" x14ac:dyDescent="0.3">
      <c r="B21" s="179">
        <v>23</v>
      </c>
      <c r="C21" s="223" t="s">
        <v>246</v>
      </c>
      <c r="D21" s="224">
        <v>3</v>
      </c>
      <c r="E21" s="224"/>
      <c r="F21" s="224">
        <v>2</v>
      </c>
      <c r="G21" s="225"/>
      <c r="H21" s="224"/>
      <c r="I21" s="224"/>
      <c r="J21" s="224"/>
      <c r="K21" s="224"/>
      <c r="L21" s="224"/>
      <c r="M21" s="224"/>
      <c r="N21" s="224"/>
      <c r="O21" s="224">
        <v>3</v>
      </c>
      <c r="P21" s="226"/>
      <c r="Q21" s="227" t="s">
        <v>367</v>
      </c>
    </row>
    <row r="22" spans="2:37" s="227" customFormat="1" ht="15.75" thickBot="1" x14ac:dyDescent="0.3">
      <c r="B22" s="179">
        <v>24</v>
      </c>
      <c r="C22" s="223" t="s">
        <v>251</v>
      </c>
      <c r="D22" s="224">
        <v>3</v>
      </c>
      <c r="E22" s="224"/>
      <c r="F22" s="224">
        <v>2</v>
      </c>
      <c r="G22" s="225"/>
      <c r="H22" s="224"/>
      <c r="I22" s="224"/>
      <c r="J22" s="224"/>
      <c r="K22" s="224"/>
      <c r="L22" s="224"/>
      <c r="M22" s="224"/>
      <c r="N22" s="224"/>
      <c r="O22" s="224">
        <v>2</v>
      </c>
      <c r="P22" s="226"/>
      <c r="Q22" s="227" t="s">
        <v>367</v>
      </c>
    </row>
    <row r="23" spans="2:37" s="227" customFormat="1" ht="15.75" thickBot="1" x14ac:dyDescent="0.3">
      <c r="B23" s="179">
        <v>25</v>
      </c>
      <c r="C23" s="228" t="s">
        <v>252</v>
      </c>
      <c r="D23" s="224">
        <v>3</v>
      </c>
      <c r="E23" s="224"/>
      <c r="F23" s="224">
        <v>2</v>
      </c>
      <c r="G23" s="225"/>
      <c r="H23" s="224"/>
      <c r="I23" s="224"/>
      <c r="J23" s="224"/>
      <c r="K23" s="224"/>
      <c r="L23" s="224"/>
      <c r="M23" s="224"/>
      <c r="N23" s="224"/>
      <c r="O23" s="224">
        <v>3</v>
      </c>
      <c r="P23" s="226"/>
      <c r="Q23" s="227" t="s">
        <v>367</v>
      </c>
    </row>
    <row r="24" spans="2:37" s="227" customFormat="1" x14ac:dyDescent="0.25">
      <c r="B24" s="179"/>
      <c r="C24" s="228" t="s">
        <v>147</v>
      </c>
      <c r="D24" s="224">
        <v>4</v>
      </c>
      <c r="E24" s="224"/>
      <c r="F24" s="224">
        <v>4</v>
      </c>
      <c r="G24" s="225"/>
      <c r="H24" s="224"/>
      <c r="I24" s="224"/>
      <c r="J24" s="224"/>
      <c r="K24" s="224"/>
      <c r="L24" s="224"/>
      <c r="M24" s="224"/>
      <c r="N24" s="224"/>
      <c r="O24" s="224"/>
      <c r="P24" s="226"/>
    </row>
    <row r="25" spans="2:37" ht="15.75" thickBot="1" x14ac:dyDescent="0.3">
      <c r="B25" s="186"/>
      <c r="C25" s="184"/>
      <c r="D25" s="187"/>
      <c r="E25" s="187"/>
      <c r="F25" s="360"/>
      <c r="G25" s="220"/>
      <c r="H25" s="187"/>
      <c r="I25" s="187"/>
      <c r="J25" s="187"/>
      <c r="K25" s="187"/>
      <c r="L25" s="187"/>
      <c r="M25" s="187"/>
      <c r="N25" s="187"/>
      <c r="O25" s="187"/>
      <c r="P25" s="188"/>
    </row>
    <row r="26" spans="2:37" s="193" customFormat="1" thickBot="1" x14ac:dyDescent="0.3">
      <c r="B26" s="189"/>
      <c r="C26" s="190" t="s">
        <v>47</v>
      </c>
      <c r="D26" s="191">
        <f t="shared" ref="D26:O26" si="0">SUM(D4:D25)</f>
        <v>69</v>
      </c>
      <c r="E26" s="191">
        <f t="shared" si="0"/>
        <v>22</v>
      </c>
      <c r="F26" s="191">
        <f t="shared" si="0"/>
        <v>28</v>
      </c>
      <c r="G26" s="221">
        <f t="shared" si="0"/>
        <v>27</v>
      </c>
      <c r="H26" s="191">
        <f t="shared" si="0"/>
        <v>1</v>
      </c>
      <c r="I26" s="191">
        <f t="shared" si="0"/>
        <v>2</v>
      </c>
      <c r="J26" s="191">
        <f t="shared" si="0"/>
        <v>3</v>
      </c>
      <c r="K26" s="191">
        <f t="shared" si="0"/>
        <v>0</v>
      </c>
      <c r="L26" s="191">
        <f t="shared" si="0"/>
        <v>5</v>
      </c>
      <c r="M26" s="191">
        <f t="shared" si="0"/>
        <v>0</v>
      </c>
      <c r="N26" s="191">
        <f t="shared" si="0"/>
        <v>0</v>
      </c>
      <c r="O26" s="191">
        <f t="shared" si="0"/>
        <v>83</v>
      </c>
      <c r="P26" s="192">
        <f>SUM(P4:P12)</f>
        <v>0</v>
      </c>
    </row>
    <row r="28" spans="2:37" x14ac:dyDescent="0.25">
      <c r="B28" s="437" t="s">
        <v>336</v>
      </c>
      <c r="C28" s="437"/>
      <c r="D28" s="437"/>
      <c r="E28" s="437"/>
      <c r="F28" s="194"/>
      <c r="G28" s="421"/>
      <c r="H28" s="422"/>
      <c r="I28" s="195"/>
      <c r="J28" s="421"/>
      <c r="K28" s="422"/>
      <c r="L28" s="195"/>
      <c r="M28" s="421"/>
      <c r="N28" s="422"/>
      <c r="O28" s="196"/>
      <c r="P28" s="48"/>
      <c r="Q28" s="48"/>
    </row>
    <row r="29" spans="2:37" x14ac:dyDescent="0.25">
      <c r="B29" s="413" t="s">
        <v>35</v>
      </c>
      <c r="C29" s="412" t="s">
        <v>36</v>
      </c>
      <c r="D29" s="438" t="s">
        <v>323</v>
      </c>
      <c r="E29" s="438"/>
      <c r="F29" s="438"/>
      <c r="G29" s="439" t="s">
        <v>337</v>
      </c>
      <c r="H29" s="440"/>
      <c r="I29" s="441"/>
      <c r="J29" s="448" t="s">
        <v>338</v>
      </c>
      <c r="K29" s="449"/>
      <c r="L29" s="450"/>
      <c r="M29" s="445" t="s">
        <v>339</v>
      </c>
      <c r="N29" s="446"/>
      <c r="O29" s="447"/>
      <c r="P29" s="442" t="s">
        <v>340</v>
      </c>
      <c r="Q29" s="443"/>
      <c r="R29" s="444"/>
      <c r="S29" s="451" t="s">
        <v>341</v>
      </c>
      <c r="T29" s="452"/>
      <c r="U29" s="453"/>
      <c r="V29" s="454" t="s">
        <v>342</v>
      </c>
      <c r="W29" s="455"/>
      <c r="X29" s="456"/>
      <c r="Y29" s="457" t="s">
        <v>343</v>
      </c>
      <c r="Z29" s="458"/>
      <c r="AA29" s="459"/>
      <c r="AB29" s="460" t="s">
        <v>344</v>
      </c>
      <c r="AC29" s="461"/>
      <c r="AD29" s="462"/>
      <c r="AE29" s="463" t="s">
        <v>345</v>
      </c>
      <c r="AF29" s="464"/>
      <c r="AG29" s="465"/>
      <c r="AH29" s="466" t="s">
        <v>360</v>
      </c>
      <c r="AI29" s="467"/>
      <c r="AJ29" s="467"/>
      <c r="AK29" s="468"/>
    </row>
    <row r="30" spans="2:37" ht="15.75" thickBot="1" x14ac:dyDescent="0.3">
      <c r="B30" s="414"/>
      <c r="C30" s="415"/>
      <c r="D30" s="197" t="s">
        <v>11</v>
      </c>
      <c r="E30" s="197" t="s">
        <v>346</v>
      </c>
      <c r="F30" s="197" t="s">
        <v>347</v>
      </c>
      <c r="G30" s="249" t="s">
        <v>11</v>
      </c>
      <c r="H30" s="250" t="s">
        <v>346</v>
      </c>
      <c r="I30" s="250" t="s">
        <v>347</v>
      </c>
      <c r="J30" s="257" t="s">
        <v>11</v>
      </c>
      <c r="K30" s="257" t="s">
        <v>346</v>
      </c>
      <c r="L30" s="257" t="s">
        <v>347</v>
      </c>
      <c r="M30" s="207" t="s">
        <v>11</v>
      </c>
      <c r="N30" s="207" t="s">
        <v>346</v>
      </c>
      <c r="O30" s="207" t="s">
        <v>347</v>
      </c>
      <c r="P30" s="267" t="s">
        <v>11</v>
      </c>
      <c r="Q30" s="267" t="s">
        <v>346</v>
      </c>
      <c r="R30" s="268" t="s">
        <v>347</v>
      </c>
      <c r="S30" s="205" t="s">
        <v>11</v>
      </c>
      <c r="T30" s="205" t="s">
        <v>346</v>
      </c>
      <c r="U30" s="205" t="s">
        <v>347</v>
      </c>
      <c r="V30" s="275" t="s">
        <v>11</v>
      </c>
      <c r="W30" s="275" t="s">
        <v>346</v>
      </c>
      <c r="X30" s="275" t="s">
        <v>347</v>
      </c>
      <c r="Y30" s="282" t="s">
        <v>11</v>
      </c>
      <c r="Z30" s="282" t="s">
        <v>346</v>
      </c>
      <c r="AA30" s="282" t="s">
        <v>347</v>
      </c>
      <c r="AB30" s="287" t="s">
        <v>11</v>
      </c>
      <c r="AC30" s="288" t="s">
        <v>346</v>
      </c>
      <c r="AD30" s="288" t="s">
        <v>347</v>
      </c>
      <c r="AE30" s="298" t="s">
        <v>348</v>
      </c>
      <c r="AF30" s="469" t="s">
        <v>349</v>
      </c>
      <c r="AG30" s="470"/>
      <c r="AH30" s="299" t="s">
        <v>356</v>
      </c>
      <c r="AI30" s="300" t="s">
        <v>357</v>
      </c>
      <c r="AJ30" s="299" t="s">
        <v>358</v>
      </c>
      <c r="AK30" s="299" t="s">
        <v>359</v>
      </c>
    </row>
    <row r="31" spans="2:37" ht="15.75" thickBot="1" x14ac:dyDescent="0.3">
      <c r="B31" s="179">
        <v>1</v>
      </c>
      <c r="C31" s="180" t="s">
        <v>235</v>
      </c>
      <c r="D31" s="177"/>
      <c r="E31" s="241"/>
      <c r="F31" s="242"/>
      <c r="G31" s="177">
        <v>5</v>
      </c>
      <c r="H31" s="251">
        <f>I31/G31</f>
        <v>0</v>
      </c>
      <c r="I31" s="252">
        <f>'Rugta '!F16</f>
        <v>0</v>
      </c>
      <c r="J31" s="258"/>
      <c r="K31" s="238"/>
      <c r="L31" s="238"/>
      <c r="M31" s="263">
        <v>4</v>
      </c>
      <c r="N31" s="202">
        <f>O31/M31</f>
        <v>0</v>
      </c>
      <c r="O31" s="208">
        <f>'Rugta '!F28</f>
        <v>0</v>
      </c>
      <c r="P31" s="258"/>
      <c r="Q31" s="236"/>
      <c r="R31" s="237"/>
      <c r="S31" s="271">
        <v>1</v>
      </c>
      <c r="T31" s="208">
        <f>'Rugta '!F34</f>
        <v>0</v>
      </c>
      <c r="U31" s="209">
        <f>T31*S31</f>
        <v>0</v>
      </c>
      <c r="V31" s="240"/>
      <c r="W31" s="276"/>
      <c r="X31" s="277"/>
      <c r="Y31" s="283"/>
      <c r="Z31" s="282"/>
      <c r="AA31" s="282"/>
      <c r="AB31" s="289">
        <v>5</v>
      </c>
      <c r="AC31" s="290" t="e">
        <f>AD31/AB31</f>
        <v>#REF!</v>
      </c>
      <c r="AD31" s="291" t="e">
        <f>'Rugta '!#REF!</f>
        <v>#REF!</v>
      </c>
      <c r="AE31" s="471" t="s">
        <v>352</v>
      </c>
      <c r="AF31" s="473" t="s">
        <v>353</v>
      </c>
      <c r="AG31" s="474"/>
      <c r="AH31" s="303" t="s">
        <v>361</v>
      </c>
      <c r="AI31" s="303" t="s">
        <v>362</v>
      </c>
      <c r="AJ31" s="304" t="s">
        <v>363</v>
      </c>
      <c r="AK31" s="305" t="s">
        <v>364</v>
      </c>
    </row>
    <row r="32" spans="2:37" ht="15.75" thickBot="1" x14ac:dyDescent="0.3">
      <c r="B32" s="179">
        <v>2</v>
      </c>
      <c r="C32" s="182" t="s">
        <v>145</v>
      </c>
      <c r="D32" s="13"/>
      <c r="E32" s="244"/>
      <c r="F32" s="244"/>
      <c r="G32" s="13">
        <v>10</v>
      </c>
      <c r="H32" s="251">
        <f t="shared" ref="H32:H33" si="1">I32/G32</f>
        <v>0</v>
      </c>
      <c r="I32" s="252">
        <f>Farjano!F16+Farjano!F29</f>
        <v>0</v>
      </c>
      <c r="J32" s="231"/>
      <c r="K32" s="236"/>
      <c r="L32" s="236"/>
      <c r="M32" s="264">
        <v>3</v>
      </c>
      <c r="N32" s="202">
        <f>O32/M32</f>
        <v>0</v>
      </c>
      <c r="O32" s="208">
        <f>Farjano!F45</f>
        <v>0</v>
      </c>
      <c r="P32" s="231"/>
      <c r="Q32" s="236"/>
      <c r="R32" s="237"/>
      <c r="S32" s="272"/>
      <c r="T32" s="208"/>
      <c r="U32" s="209"/>
      <c r="V32" s="243"/>
      <c r="W32" s="276"/>
      <c r="X32" s="276"/>
      <c r="Y32" s="284"/>
      <c r="Z32" s="282"/>
      <c r="AA32" s="282"/>
      <c r="AB32" s="292">
        <v>7</v>
      </c>
      <c r="AC32" s="290" t="e">
        <f t="shared" ref="AC32:AC52" si="2">AD32/AB32</f>
        <v>#REF!</v>
      </c>
      <c r="AD32" s="291" t="e">
        <f>Farjano!#REF!</f>
        <v>#REF!</v>
      </c>
      <c r="AE32" s="472"/>
      <c r="AF32" s="473" t="s">
        <v>353</v>
      </c>
      <c r="AG32" s="474"/>
      <c r="AH32" s="303" t="s">
        <v>361</v>
      </c>
      <c r="AI32" s="303" t="s">
        <v>362</v>
      </c>
      <c r="AJ32" s="304" t="s">
        <v>363</v>
      </c>
      <c r="AK32" s="305" t="s">
        <v>364</v>
      </c>
    </row>
    <row r="33" spans="2:87" ht="15.75" thickBot="1" x14ac:dyDescent="0.3">
      <c r="B33" s="179"/>
      <c r="C33" s="362" t="s">
        <v>255</v>
      </c>
      <c r="D33" s="13"/>
      <c r="E33" s="201"/>
      <c r="F33" s="241"/>
      <c r="G33" s="13">
        <v>8</v>
      </c>
      <c r="H33" s="251">
        <f t="shared" si="1"/>
        <v>0</v>
      </c>
      <c r="I33" s="252">
        <f>Ganaane!F17+Ganaane!F30</f>
        <v>0</v>
      </c>
      <c r="J33" s="258"/>
      <c r="K33" s="230"/>
      <c r="L33" s="230"/>
      <c r="M33" s="263">
        <v>5</v>
      </c>
      <c r="N33" s="202">
        <f>O33/M33</f>
        <v>0</v>
      </c>
      <c r="O33" s="208">
        <f>Ganaane!F40</f>
        <v>0</v>
      </c>
      <c r="P33" s="258"/>
      <c r="Q33" s="236"/>
      <c r="R33" s="237"/>
      <c r="S33" s="271"/>
      <c r="T33" s="208"/>
      <c r="U33" s="209"/>
      <c r="V33" s="243"/>
      <c r="W33" s="276"/>
      <c r="X33" s="276"/>
      <c r="Y33" s="284"/>
      <c r="Z33" s="282"/>
      <c r="AA33" s="282"/>
      <c r="AB33" s="289">
        <v>3</v>
      </c>
      <c r="AC33" s="290" t="e">
        <f t="shared" si="2"/>
        <v>#REF!</v>
      </c>
      <c r="AD33" s="291" t="e">
        <f>Ganaane!#REF!</f>
        <v>#REF!</v>
      </c>
      <c r="AE33" s="472"/>
      <c r="AF33" s="473" t="s">
        <v>353</v>
      </c>
      <c r="AG33" s="474"/>
      <c r="AH33" s="303" t="s">
        <v>361</v>
      </c>
      <c r="AI33" s="303" t="s">
        <v>362</v>
      </c>
      <c r="AJ33" s="304" t="s">
        <v>363</v>
      </c>
      <c r="AK33" s="305" t="s">
        <v>364</v>
      </c>
    </row>
    <row r="34" spans="2:87" ht="15.75" thickBot="1" x14ac:dyDescent="0.3">
      <c r="B34" s="179">
        <v>5</v>
      </c>
      <c r="C34" s="48" t="s">
        <v>257</v>
      </c>
      <c r="D34" s="13">
        <v>3</v>
      </c>
      <c r="E34" s="245" t="e">
        <f>#REF!</f>
        <v>#REF!</v>
      </c>
      <c r="F34" s="241" t="e">
        <f>E34*D34</f>
        <v>#REF!</v>
      </c>
      <c r="G34" s="253"/>
      <c r="H34" s="251"/>
      <c r="I34" s="252"/>
      <c r="J34" s="231"/>
      <c r="K34" s="236"/>
      <c r="L34" s="238"/>
      <c r="M34" s="264"/>
      <c r="N34" s="202" t="e">
        <f t="shared" ref="N34:N43" si="3">O34/M34</f>
        <v>#REF!</v>
      </c>
      <c r="O34" s="208" t="e">
        <f>#REF!</f>
        <v>#REF!</v>
      </c>
      <c r="P34" s="231"/>
      <c r="Q34" s="236"/>
      <c r="R34" s="237"/>
      <c r="S34" s="272"/>
      <c r="T34" s="208"/>
      <c r="U34" s="209"/>
      <c r="V34" s="243"/>
      <c r="W34" s="277"/>
      <c r="X34" s="277"/>
      <c r="Y34" s="284"/>
      <c r="Z34" s="282"/>
      <c r="AA34" s="282"/>
      <c r="AB34" s="292">
        <v>5</v>
      </c>
      <c r="AC34" s="290" t="e">
        <f t="shared" si="2"/>
        <v>#REF!</v>
      </c>
      <c r="AD34" s="291" t="e">
        <f>#REF!</f>
        <v>#REF!</v>
      </c>
      <c r="AE34" s="472"/>
      <c r="AF34" s="473" t="s">
        <v>353</v>
      </c>
      <c r="AG34" s="474"/>
      <c r="AH34" s="303" t="s">
        <v>361</v>
      </c>
      <c r="AI34" s="303" t="s">
        <v>362</v>
      </c>
      <c r="AJ34" s="304" t="s">
        <v>363</v>
      </c>
      <c r="AK34" s="305" t="s">
        <v>364</v>
      </c>
    </row>
    <row r="35" spans="2:87" ht="15.75" thickBot="1" x14ac:dyDescent="0.3">
      <c r="B35" s="179">
        <v>6</v>
      </c>
      <c r="C35" s="48" t="s">
        <v>260</v>
      </c>
      <c r="D35" s="13">
        <v>4</v>
      </c>
      <c r="E35" s="245" t="e">
        <f>#REF!</f>
        <v>#REF!</v>
      </c>
      <c r="F35" s="241" t="e">
        <f t="shared" ref="F35:F51" si="4">E35*D35</f>
        <v>#REF!</v>
      </c>
      <c r="G35" s="253"/>
      <c r="H35" s="251"/>
      <c r="I35" s="252"/>
      <c r="J35" s="231"/>
      <c r="K35" s="236"/>
      <c r="L35" s="238"/>
      <c r="M35" s="264">
        <v>4</v>
      </c>
      <c r="N35" s="202" t="e">
        <f t="shared" si="3"/>
        <v>#REF!</v>
      </c>
      <c r="O35" s="208" t="e">
        <f>#REF!</f>
        <v>#REF!</v>
      </c>
      <c r="P35" s="231"/>
      <c r="Q35" s="236"/>
      <c r="R35" s="237"/>
      <c r="S35" s="272"/>
      <c r="T35" s="208"/>
      <c r="U35" s="209"/>
      <c r="V35" s="243"/>
      <c r="W35" s="277"/>
      <c r="X35" s="277"/>
      <c r="Y35" s="284"/>
      <c r="Z35" s="282"/>
      <c r="AA35" s="282"/>
      <c r="AB35" s="292">
        <v>7</v>
      </c>
      <c r="AC35" s="290" t="e">
        <f t="shared" si="2"/>
        <v>#REF!</v>
      </c>
      <c r="AD35" s="291" t="e">
        <f>#REF!</f>
        <v>#REF!</v>
      </c>
      <c r="AE35" s="472"/>
      <c r="AF35" s="473" t="s">
        <v>355</v>
      </c>
      <c r="AG35" s="474"/>
      <c r="AH35" s="303" t="s">
        <v>361</v>
      </c>
      <c r="AI35" s="303" t="s">
        <v>362</v>
      </c>
      <c r="AJ35" s="304" t="s">
        <v>363</v>
      </c>
      <c r="AK35" s="305" t="s">
        <v>364</v>
      </c>
    </row>
    <row r="36" spans="2:87" ht="15.75" thickBot="1" x14ac:dyDescent="0.3">
      <c r="B36" s="179">
        <v>9</v>
      </c>
      <c r="C36" s="48" t="s">
        <v>181</v>
      </c>
      <c r="D36" s="13">
        <v>3</v>
      </c>
      <c r="E36" s="245" t="e">
        <f>#REF!</f>
        <v>#REF!</v>
      </c>
      <c r="F36" s="241" t="e">
        <f t="shared" si="4"/>
        <v>#REF!</v>
      </c>
      <c r="G36" s="253"/>
      <c r="H36" s="251"/>
      <c r="I36" s="252"/>
      <c r="J36" s="231">
        <v>0</v>
      </c>
      <c r="K36" s="230" t="e">
        <f>L36/J36</f>
        <v>#REF!</v>
      </c>
      <c r="L36" s="235" t="e">
        <f>#REF!</f>
        <v>#REF!</v>
      </c>
      <c r="M36" s="264"/>
      <c r="N36" s="202"/>
      <c r="O36" s="208"/>
      <c r="P36" s="231"/>
      <c r="Q36" s="236"/>
      <c r="R36" s="237"/>
      <c r="S36" s="272"/>
      <c r="T36" s="208"/>
      <c r="U36" s="209"/>
      <c r="V36" s="243"/>
      <c r="W36" s="277"/>
      <c r="X36" s="277"/>
      <c r="Y36" s="284"/>
      <c r="Z36" s="282"/>
      <c r="AA36" s="282"/>
      <c r="AB36" s="292">
        <v>2</v>
      </c>
      <c r="AC36" s="290" t="e">
        <f t="shared" si="2"/>
        <v>#REF!</v>
      </c>
      <c r="AD36" s="291" t="e">
        <f>#REF!</f>
        <v>#REF!</v>
      </c>
      <c r="AE36" s="472"/>
      <c r="AF36" s="473" t="s">
        <v>355</v>
      </c>
      <c r="AG36" s="474"/>
      <c r="AH36" s="303" t="s">
        <v>361</v>
      </c>
      <c r="AI36" s="303" t="s">
        <v>362</v>
      </c>
      <c r="AJ36" s="304" t="s">
        <v>363</v>
      </c>
      <c r="AK36" s="305" t="s">
        <v>364</v>
      </c>
    </row>
    <row r="37" spans="2:87" ht="15.75" thickBot="1" x14ac:dyDescent="0.3">
      <c r="B37" s="179">
        <v>10</v>
      </c>
      <c r="C37" s="48" t="s">
        <v>234</v>
      </c>
      <c r="D37" s="13">
        <v>2</v>
      </c>
      <c r="E37" s="245" t="e">
        <f>#REF!</f>
        <v>#REF!</v>
      </c>
      <c r="F37" s="241" t="e">
        <f t="shared" si="4"/>
        <v>#REF!</v>
      </c>
      <c r="G37" s="253"/>
      <c r="H37" s="251"/>
      <c r="I37" s="252"/>
      <c r="J37" s="231">
        <v>2</v>
      </c>
      <c r="K37" s="230" t="e">
        <f t="shared" ref="K37:K38" si="5">L37/J37</f>
        <v>#REF!</v>
      </c>
      <c r="L37" s="235" t="e">
        <f>#REF!</f>
        <v>#REF!</v>
      </c>
      <c r="M37" s="264"/>
      <c r="N37" s="202"/>
      <c r="O37" s="208"/>
      <c r="P37" s="231"/>
      <c r="Q37" s="236"/>
      <c r="R37" s="237"/>
      <c r="S37" s="272"/>
      <c r="T37" s="208"/>
      <c r="U37" s="209"/>
      <c r="V37" s="243"/>
      <c r="W37" s="277"/>
      <c r="X37" s="277"/>
      <c r="Y37" s="284"/>
      <c r="Z37" s="282"/>
      <c r="AA37" s="282"/>
      <c r="AB37" s="292">
        <v>2</v>
      </c>
      <c r="AC37" s="290" t="e">
        <f t="shared" si="2"/>
        <v>#REF!</v>
      </c>
      <c r="AD37" s="291" t="e">
        <f>#REF!</f>
        <v>#REF!</v>
      </c>
      <c r="AE37" s="472"/>
      <c r="AF37" s="473" t="s">
        <v>355</v>
      </c>
      <c r="AG37" s="474"/>
      <c r="AH37" s="303" t="s">
        <v>361</v>
      </c>
      <c r="AI37" s="303" t="s">
        <v>362</v>
      </c>
      <c r="AJ37" s="304" t="s">
        <v>363</v>
      </c>
      <c r="AK37" s="305" t="s">
        <v>364</v>
      </c>
    </row>
    <row r="38" spans="2:87" ht="15.75" thickBot="1" x14ac:dyDescent="0.3">
      <c r="B38" s="179">
        <v>11</v>
      </c>
      <c r="C38" s="48" t="s">
        <v>254</v>
      </c>
      <c r="D38" s="13">
        <v>3</v>
      </c>
      <c r="E38" s="245" t="e">
        <f>#REF!</f>
        <v>#REF!</v>
      </c>
      <c r="F38" s="241" t="e">
        <f t="shared" si="4"/>
        <v>#REF!</v>
      </c>
      <c r="G38" s="253"/>
      <c r="H38" s="251"/>
      <c r="I38" s="252"/>
      <c r="J38" s="231">
        <v>0</v>
      </c>
      <c r="K38" s="230" t="e">
        <f t="shared" si="5"/>
        <v>#REF!</v>
      </c>
      <c r="L38" s="235" t="e">
        <f>#REF!</f>
        <v>#REF!</v>
      </c>
      <c r="M38" s="264"/>
      <c r="N38" s="202"/>
      <c r="O38" s="208"/>
      <c r="P38" s="231"/>
      <c r="Q38" s="236"/>
      <c r="R38" s="237"/>
      <c r="S38" s="272"/>
      <c r="T38" s="208"/>
      <c r="U38" s="209"/>
      <c r="V38" s="243"/>
      <c r="W38" s="277"/>
      <c r="X38" s="277"/>
      <c r="Y38" s="284"/>
      <c r="Z38" s="282"/>
      <c r="AA38" s="282"/>
      <c r="AB38" s="292">
        <v>5</v>
      </c>
      <c r="AC38" s="290" t="e">
        <f t="shared" si="2"/>
        <v>#REF!</v>
      </c>
      <c r="AD38" s="291" t="e">
        <f>#REF!</f>
        <v>#REF!</v>
      </c>
      <c r="AE38" s="472"/>
      <c r="AF38" s="473" t="s">
        <v>355</v>
      </c>
      <c r="AG38" s="474"/>
      <c r="AH38" s="303" t="s">
        <v>361</v>
      </c>
      <c r="AI38" s="303" t="s">
        <v>362</v>
      </c>
      <c r="AJ38" s="304" t="s">
        <v>363</v>
      </c>
      <c r="AK38" s="305" t="s">
        <v>364</v>
      </c>
    </row>
    <row r="39" spans="2:87" s="234" customFormat="1" ht="15.75" thickBot="1" x14ac:dyDescent="0.3">
      <c r="B39" s="229">
        <v>12</v>
      </c>
      <c r="C39" s="230" t="s">
        <v>262</v>
      </c>
      <c r="D39" s="231">
        <v>1</v>
      </c>
      <c r="E39" s="245">
        <f>'Ex-Minriino'!F35</f>
        <v>0</v>
      </c>
      <c r="F39" s="241">
        <f t="shared" si="4"/>
        <v>0</v>
      </c>
      <c r="G39" s="253"/>
      <c r="H39" s="251"/>
      <c r="I39" s="252"/>
      <c r="J39" s="231"/>
      <c r="K39" s="236"/>
      <c r="L39" s="238"/>
      <c r="M39" s="264"/>
      <c r="N39" s="208"/>
      <c r="O39" s="208"/>
      <c r="P39" s="231"/>
      <c r="Q39" s="236"/>
      <c r="R39" s="237"/>
      <c r="S39" s="272"/>
      <c r="T39" s="208"/>
      <c r="U39" s="209"/>
      <c r="V39" s="243"/>
      <c r="W39" s="277"/>
      <c r="X39" s="277"/>
      <c r="Y39" s="284"/>
      <c r="Z39" s="282"/>
      <c r="AA39" s="282"/>
      <c r="AB39" s="292">
        <v>3</v>
      </c>
      <c r="AC39" s="290" t="e">
        <f t="shared" si="2"/>
        <v>#REF!</v>
      </c>
      <c r="AD39" s="291" t="e">
        <f>'Ex-Minriino'!#REF!</f>
        <v>#REF!</v>
      </c>
      <c r="AE39" s="472"/>
      <c r="AF39" s="473" t="s">
        <v>355</v>
      </c>
      <c r="AG39" s="474"/>
      <c r="AH39" s="303" t="s">
        <v>361</v>
      </c>
      <c r="AI39" s="303" t="s">
        <v>362</v>
      </c>
      <c r="AJ39" s="304" t="s">
        <v>363</v>
      </c>
      <c r="AK39" s="305" t="s">
        <v>364</v>
      </c>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row>
    <row r="40" spans="2:87" s="234" customFormat="1" ht="15.75" thickBot="1" x14ac:dyDescent="0.3">
      <c r="B40" s="179">
        <v>13</v>
      </c>
      <c r="C40" s="230" t="s">
        <v>239</v>
      </c>
      <c r="D40" s="231">
        <v>2</v>
      </c>
      <c r="E40" s="245">
        <f>'New Wamo '!F33</f>
        <v>0</v>
      </c>
      <c r="F40" s="241">
        <f t="shared" si="4"/>
        <v>0</v>
      </c>
      <c r="G40" s="253"/>
      <c r="H40" s="251"/>
      <c r="I40" s="252"/>
      <c r="J40" s="239"/>
      <c r="K40" s="230"/>
      <c r="L40" s="230"/>
      <c r="M40" s="264">
        <v>3</v>
      </c>
      <c r="N40" s="208" t="e">
        <f t="shared" si="3"/>
        <v>#REF!</v>
      </c>
      <c r="O40" s="208" t="e">
        <f>'New Wamo '!#REF!</f>
        <v>#REF!</v>
      </c>
      <c r="P40" s="231"/>
      <c r="Q40" s="236"/>
      <c r="R40" s="237"/>
      <c r="S40" s="272"/>
      <c r="T40" s="208"/>
      <c r="U40" s="209"/>
      <c r="V40" s="243"/>
      <c r="W40" s="277"/>
      <c r="X40" s="277"/>
      <c r="Y40" s="285"/>
      <c r="Z40" s="285"/>
      <c r="AA40" s="284"/>
      <c r="AB40" s="292">
        <v>5</v>
      </c>
      <c r="AC40" s="290" t="e">
        <f t="shared" si="2"/>
        <v>#REF!</v>
      </c>
      <c r="AD40" s="291" t="e">
        <f>'New Wamo '!#REF!</f>
        <v>#REF!</v>
      </c>
      <c r="AE40" s="472"/>
      <c r="AF40" s="473" t="s">
        <v>355</v>
      </c>
      <c r="AG40" s="474"/>
      <c r="AH40" s="303" t="s">
        <v>361</v>
      </c>
      <c r="AI40" s="303" t="s">
        <v>362</v>
      </c>
      <c r="AJ40" s="304" t="s">
        <v>363</v>
      </c>
      <c r="AK40" s="305" t="s">
        <v>364</v>
      </c>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row>
    <row r="41" spans="2:87" s="234" customFormat="1" ht="15.75" thickBot="1" x14ac:dyDescent="0.3">
      <c r="B41" s="179">
        <v>14</v>
      </c>
      <c r="C41" s="230" t="s">
        <v>242</v>
      </c>
      <c r="D41" s="231">
        <v>2</v>
      </c>
      <c r="E41" s="245">
        <f>'Wamo st'!F34</f>
        <v>0</v>
      </c>
      <c r="F41" s="241">
        <f t="shared" si="4"/>
        <v>0</v>
      </c>
      <c r="G41" s="253"/>
      <c r="H41" s="251"/>
      <c r="I41" s="252"/>
      <c r="J41" s="231"/>
      <c r="K41" s="230"/>
      <c r="L41" s="235"/>
      <c r="M41" s="264">
        <v>4</v>
      </c>
      <c r="N41" s="208" t="e">
        <f t="shared" si="3"/>
        <v>#REF!</v>
      </c>
      <c r="O41" s="208" t="e">
        <f>'Wamo st'!#REF!</f>
        <v>#REF!</v>
      </c>
      <c r="P41" s="231"/>
      <c r="Q41" s="236"/>
      <c r="R41" s="237"/>
      <c r="S41" s="272"/>
      <c r="T41" s="208"/>
      <c r="U41" s="209"/>
      <c r="V41" s="243"/>
      <c r="W41" s="277"/>
      <c r="X41" s="277"/>
      <c r="Y41" s="284"/>
      <c r="Z41" s="282"/>
      <c r="AA41" s="282"/>
      <c r="AB41" s="292">
        <v>5</v>
      </c>
      <c r="AC41" s="290" t="e">
        <f t="shared" si="2"/>
        <v>#REF!</v>
      </c>
      <c r="AD41" s="291" t="e">
        <f>'Wamo st'!#REF!</f>
        <v>#REF!</v>
      </c>
      <c r="AE41" s="472"/>
      <c r="AF41" s="301" t="s">
        <v>353</v>
      </c>
      <c r="AG41" s="302"/>
      <c r="AH41" s="303" t="s">
        <v>361</v>
      </c>
      <c r="AI41" s="303" t="s">
        <v>362</v>
      </c>
      <c r="AJ41" s="304" t="s">
        <v>363</v>
      </c>
      <c r="AK41" s="305" t="s">
        <v>364</v>
      </c>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row>
    <row r="42" spans="2:87" s="234" customFormat="1" ht="15.75" thickBot="1" x14ac:dyDescent="0.3">
      <c r="B42" s="179">
        <v>15</v>
      </c>
      <c r="C42" s="230" t="s">
        <v>258</v>
      </c>
      <c r="D42" s="231">
        <v>4</v>
      </c>
      <c r="E42" s="245" t="e">
        <f>#REF!</f>
        <v>#REF!</v>
      </c>
      <c r="F42" s="241" t="e">
        <f t="shared" si="4"/>
        <v>#REF!</v>
      </c>
      <c r="G42" s="253"/>
      <c r="H42" s="251"/>
      <c r="I42" s="252"/>
      <c r="J42" s="231">
        <v>4</v>
      </c>
      <c r="K42" s="236" t="e">
        <f>L42/J42</f>
        <v>#REF!</v>
      </c>
      <c r="L42" s="238" t="e">
        <f>#REF!</f>
        <v>#REF!</v>
      </c>
      <c r="M42" s="264"/>
      <c r="N42" s="208" t="e">
        <f t="shared" si="3"/>
        <v>#REF!</v>
      </c>
      <c r="O42" s="208" t="e">
        <f>#REF!</f>
        <v>#REF!</v>
      </c>
      <c r="P42" s="231"/>
      <c r="Q42" s="236"/>
      <c r="R42" s="237"/>
      <c r="S42" s="272">
        <v>1</v>
      </c>
      <c r="T42" s="208" t="e">
        <f>#REF!</f>
        <v>#REF!</v>
      </c>
      <c r="U42" s="208" t="e">
        <f>T42*S42</f>
        <v>#REF!</v>
      </c>
      <c r="V42" s="243"/>
      <c r="W42" s="277"/>
      <c r="X42" s="277"/>
      <c r="Y42" s="284"/>
      <c r="Z42" s="282"/>
      <c r="AA42" s="282"/>
      <c r="AB42" s="292">
        <v>4</v>
      </c>
      <c r="AC42" s="290" t="e">
        <f t="shared" si="2"/>
        <v>#REF!</v>
      </c>
      <c r="AD42" s="291" t="e">
        <f>#REF!</f>
        <v>#REF!</v>
      </c>
      <c r="AE42" s="472"/>
      <c r="AF42" s="473" t="s">
        <v>355</v>
      </c>
      <c r="AG42" s="474"/>
      <c r="AH42" s="303" t="s">
        <v>361</v>
      </c>
      <c r="AI42" s="303" t="s">
        <v>362</v>
      </c>
      <c r="AJ42" s="304" t="s">
        <v>363</v>
      </c>
      <c r="AK42" s="305" t="s">
        <v>364</v>
      </c>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row>
    <row r="43" spans="2:87" s="234" customFormat="1" ht="15.75" thickBot="1" x14ac:dyDescent="0.3">
      <c r="B43" s="179">
        <v>16</v>
      </c>
      <c r="C43" s="230" t="s">
        <v>316</v>
      </c>
      <c r="D43" s="231">
        <v>6</v>
      </c>
      <c r="E43" s="201" t="e">
        <f>#REF!</f>
        <v>#REF!</v>
      </c>
      <c r="F43" s="241" t="e">
        <f t="shared" si="4"/>
        <v>#REF!</v>
      </c>
      <c r="G43" s="253"/>
      <c r="H43" s="251"/>
      <c r="I43" s="252"/>
      <c r="J43" s="231">
        <v>0</v>
      </c>
      <c r="K43" s="236" t="e">
        <f t="shared" ref="K43" si="6">L43/6</f>
        <v>#REF!</v>
      </c>
      <c r="L43" s="238" t="e">
        <f>#REF!</f>
        <v>#REF!</v>
      </c>
      <c r="M43" s="264">
        <v>4</v>
      </c>
      <c r="N43" s="208" t="e">
        <f t="shared" si="3"/>
        <v>#REF!</v>
      </c>
      <c r="O43" s="208" t="e">
        <f>#REF!</f>
        <v>#REF!</v>
      </c>
      <c r="P43" s="231"/>
      <c r="Q43" s="236"/>
      <c r="R43" s="237"/>
      <c r="S43" s="272"/>
      <c r="T43" s="208"/>
      <c r="U43" s="209"/>
      <c r="V43" s="243"/>
      <c r="W43" s="277"/>
      <c r="X43" s="277"/>
      <c r="Y43" s="284"/>
      <c r="Z43" s="282"/>
      <c r="AA43" s="282"/>
      <c r="AB43" s="292">
        <v>6</v>
      </c>
      <c r="AC43" s="290" t="e">
        <f t="shared" si="2"/>
        <v>#REF!</v>
      </c>
      <c r="AD43" s="291" t="e">
        <f>#REF!</f>
        <v>#REF!</v>
      </c>
      <c r="AE43" s="472"/>
      <c r="AF43" s="473" t="s">
        <v>354</v>
      </c>
      <c r="AG43" s="474"/>
      <c r="AH43" s="303" t="s">
        <v>361</v>
      </c>
      <c r="AI43" s="303" t="s">
        <v>362</v>
      </c>
      <c r="AJ43" s="304" t="s">
        <v>363</v>
      </c>
      <c r="AK43" s="305" t="s">
        <v>364</v>
      </c>
      <c r="AM43" s="19"/>
      <c r="AN43" s="19"/>
      <c r="AO43" s="19"/>
      <c r="AP43" s="19"/>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c r="BW43" s="19"/>
      <c r="BX43" s="19"/>
      <c r="BY43" s="19"/>
      <c r="BZ43" s="19"/>
      <c r="CA43" s="19"/>
      <c r="CB43" s="19"/>
      <c r="CC43" s="19"/>
      <c r="CD43" s="19"/>
      <c r="CE43" s="19"/>
      <c r="CF43" s="19"/>
      <c r="CG43" s="19"/>
      <c r="CH43" s="19"/>
      <c r="CI43" s="19"/>
    </row>
    <row r="44" spans="2:87" s="213" customFormat="1" ht="15.75" thickBot="1" x14ac:dyDescent="0.3">
      <c r="B44" s="179">
        <v>19</v>
      </c>
      <c r="C44" s="206" t="s">
        <v>253</v>
      </c>
      <c r="D44" s="210">
        <v>10</v>
      </c>
      <c r="E44" s="245" t="e">
        <f>#REF!</f>
        <v>#REF!</v>
      </c>
      <c r="F44" s="241" t="e">
        <f t="shared" si="4"/>
        <v>#REF!</v>
      </c>
      <c r="G44" s="253"/>
      <c r="H44" s="251"/>
      <c r="I44" s="252"/>
      <c r="J44" s="231">
        <v>4</v>
      </c>
      <c r="K44" s="236"/>
      <c r="L44" s="238"/>
      <c r="M44" s="264"/>
      <c r="N44" s="202" t="e">
        <f>O44/M44</f>
        <v>#DIV/0!</v>
      </c>
      <c r="O44" s="208">
        <f>Iftin!F22</f>
        <v>1000</v>
      </c>
      <c r="P44" s="231"/>
      <c r="Q44" s="236"/>
      <c r="R44" s="237"/>
      <c r="S44" s="272"/>
      <c r="T44" s="208"/>
      <c r="U44" s="209"/>
      <c r="V44" s="243"/>
      <c r="W44" s="277"/>
      <c r="X44" s="277"/>
      <c r="Y44" s="284"/>
      <c r="Z44" s="282"/>
      <c r="AA44" s="282"/>
      <c r="AB44" s="292">
        <v>8</v>
      </c>
      <c r="AC44" s="290">
        <f t="shared" si="2"/>
        <v>1800</v>
      </c>
      <c r="AD44" s="291">
        <f>Iftin!F27</f>
        <v>14400</v>
      </c>
      <c r="AE44" s="472"/>
      <c r="AF44" s="473" t="s">
        <v>354</v>
      </c>
      <c r="AG44" s="474"/>
      <c r="AH44" s="303" t="s">
        <v>361</v>
      </c>
      <c r="AI44" s="303" t="s">
        <v>362</v>
      </c>
      <c r="AJ44" s="304" t="s">
        <v>363</v>
      </c>
      <c r="AK44" s="305" t="s">
        <v>364</v>
      </c>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row>
    <row r="45" spans="2:87" s="213" customFormat="1" ht="15.75" thickBot="1" x14ac:dyDescent="0.3">
      <c r="B45" s="179">
        <v>20</v>
      </c>
      <c r="C45" s="206" t="s">
        <v>244</v>
      </c>
      <c r="D45" s="210">
        <v>10</v>
      </c>
      <c r="E45" s="245" t="e">
        <f>#REF!</f>
        <v>#REF!</v>
      </c>
      <c r="F45" s="241" t="e">
        <f t="shared" si="4"/>
        <v>#REF!</v>
      </c>
      <c r="G45" s="253"/>
      <c r="H45" s="251"/>
      <c r="I45" s="252"/>
      <c r="J45" s="231">
        <v>4</v>
      </c>
      <c r="K45" s="236">
        <f>L45/J45</f>
        <v>2039.29375</v>
      </c>
      <c r="L45" s="238">
        <f>'Ahmed B Hambal'!F74</f>
        <v>8157.1750000000002</v>
      </c>
      <c r="M45" s="264"/>
      <c r="N45" s="202"/>
      <c r="O45" s="208">
        <f t="shared" ref="O45:O52" si="7">N45*M45</f>
        <v>0</v>
      </c>
      <c r="P45" s="231"/>
      <c r="Q45" s="236"/>
      <c r="R45" s="237"/>
      <c r="S45" s="272"/>
      <c r="T45" s="208"/>
      <c r="U45" s="209"/>
      <c r="V45" s="243"/>
      <c r="W45" s="277"/>
      <c r="X45" s="277"/>
      <c r="Y45" s="284"/>
      <c r="Z45" s="282"/>
      <c r="AA45" s="282"/>
      <c r="AB45" s="292">
        <v>10</v>
      </c>
      <c r="AC45" s="290">
        <f t="shared" si="2"/>
        <v>1800</v>
      </c>
      <c r="AD45" s="291">
        <f>'Ahmed B Hambal'!F78</f>
        <v>18000</v>
      </c>
      <c r="AE45" s="472"/>
      <c r="AF45" s="473" t="s">
        <v>354</v>
      </c>
      <c r="AG45" s="474"/>
      <c r="AH45" s="303" t="s">
        <v>361</v>
      </c>
      <c r="AI45" s="303" t="s">
        <v>362</v>
      </c>
      <c r="AJ45" s="304" t="s">
        <v>363</v>
      </c>
      <c r="AK45" s="305" t="s">
        <v>364</v>
      </c>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row>
    <row r="46" spans="2:87" s="213" customFormat="1" ht="15.75" thickBot="1" x14ac:dyDescent="0.3">
      <c r="B46" s="179">
        <v>21</v>
      </c>
      <c r="C46" s="223" t="s">
        <v>233</v>
      </c>
      <c r="D46" s="224">
        <v>3</v>
      </c>
      <c r="E46" s="245" t="e">
        <f>#REF!</f>
        <v>#REF!</v>
      </c>
      <c r="F46" s="241" t="e">
        <f t="shared" si="4"/>
        <v>#REF!</v>
      </c>
      <c r="G46" s="253"/>
      <c r="H46" s="251"/>
      <c r="I46" s="252"/>
      <c r="J46" s="231">
        <v>2</v>
      </c>
      <c r="K46" s="236" t="e">
        <f>L46/J46</f>
        <v>#REF!</v>
      </c>
      <c r="L46" s="238" t="e">
        <f>#REF!</f>
        <v>#REF!</v>
      </c>
      <c r="M46" s="264"/>
      <c r="N46" s="202"/>
      <c r="O46" s="208">
        <f t="shared" si="7"/>
        <v>0</v>
      </c>
      <c r="P46" s="231"/>
      <c r="Q46" s="236"/>
      <c r="R46" s="237"/>
      <c r="S46" s="272"/>
      <c r="T46" s="208"/>
      <c r="U46" s="209"/>
      <c r="V46" s="243"/>
      <c r="W46" s="277"/>
      <c r="X46" s="277"/>
      <c r="Y46" s="284"/>
      <c r="Z46" s="282"/>
      <c r="AA46" s="282"/>
      <c r="AB46" s="292">
        <v>6</v>
      </c>
      <c r="AC46" s="290" t="e">
        <f t="shared" si="2"/>
        <v>#REF!</v>
      </c>
      <c r="AD46" s="291" t="e">
        <f>#REF!</f>
        <v>#REF!</v>
      </c>
      <c r="AE46" s="472"/>
      <c r="AF46" s="473" t="s">
        <v>353</v>
      </c>
      <c r="AG46" s="474"/>
      <c r="AH46" s="303" t="s">
        <v>361</v>
      </c>
      <c r="AI46" s="303" t="s">
        <v>362</v>
      </c>
      <c r="AJ46" s="304" t="s">
        <v>363</v>
      </c>
      <c r="AK46" s="305" t="s">
        <v>364</v>
      </c>
      <c r="AM46" s="19"/>
      <c r="AN46" s="19"/>
      <c r="AO46" s="19"/>
      <c r="AP46" s="19"/>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c r="BW46" s="19"/>
      <c r="BX46" s="19"/>
      <c r="BY46" s="19"/>
      <c r="BZ46" s="19"/>
      <c r="CA46" s="19"/>
      <c r="CB46" s="19"/>
      <c r="CC46" s="19"/>
      <c r="CD46" s="19"/>
      <c r="CE46" s="19"/>
      <c r="CF46" s="19"/>
      <c r="CG46" s="19"/>
      <c r="CH46" s="19"/>
      <c r="CI46" s="19"/>
    </row>
    <row r="47" spans="2:87" s="213" customFormat="1" ht="15.75" thickBot="1" x14ac:dyDescent="0.3">
      <c r="B47" s="179">
        <v>22</v>
      </c>
      <c r="C47" s="223" t="s">
        <v>245</v>
      </c>
      <c r="D47" s="224">
        <v>3</v>
      </c>
      <c r="E47" s="245" t="e">
        <f>#REF!</f>
        <v>#REF!</v>
      </c>
      <c r="F47" s="241" t="e">
        <f t="shared" si="4"/>
        <v>#REF!</v>
      </c>
      <c r="G47" s="253"/>
      <c r="H47" s="251"/>
      <c r="I47" s="252"/>
      <c r="J47" s="231">
        <v>2</v>
      </c>
      <c r="K47" s="236" t="e">
        <f>L47/J47</f>
        <v>#REF!</v>
      </c>
      <c r="L47" s="238" t="e">
        <f>#REF!</f>
        <v>#REF!</v>
      </c>
      <c r="M47" s="264"/>
      <c r="N47" s="211"/>
      <c r="O47" s="208">
        <f t="shared" si="7"/>
        <v>0</v>
      </c>
      <c r="P47" s="231">
        <v>1</v>
      </c>
      <c r="Q47" s="236" t="e">
        <f>#REF!</f>
        <v>#REF!</v>
      </c>
      <c r="R47" s="237" t="e">
        <f>Q47*P47</f>
        <v>#REF!</v>
      </c>
      <c r="S47" s="272"/>
      <c r="T47" s="208"/>
      <c r="U47" s="209"/>
      <c r="V47" s="243"/>
      <c r="W47" s="277"/>
      <c r="X47" s="277"/>
      <c r="Y47" s="284"/>
      <c r="Z47" s="282"/>
      <c r="AA47" s="282"/>
      <c r="AB47" s="292">
        <v>8</v>
      </c>
      <c r="AC47" s="290" t="e">
        <f t="shared" si="2"/>
        <v>#REF!</v>
      </c>
      <c r="AD47" s="291" t="e">
        <f>#REF!</f>
        <v>#REF!</v>
      </c>
      <c r="AE47" s="472"/>
      <c r="AF47" s="473" t="s">
        <v>353</v>
      </c>
      <c r="AG47" s="474"/>
      <c r="AH47" s="303" t="s">
        <v>361</v>
      </c>
      <c r="AI47" s="303" t="s">
        <v>362</v>
      </c>
      <c r="AJ47" s="304" t="s">
        <v>363</v>
      </c>
      <c r="AK47" s="305" t="s">
        <v>364</v>
      </c>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row>
    <row r="48" spans="2:87" s="227" customFormat="1" ht="15.75" thickBot="1" x14ac:dyDescent="0.3">
      <c r="B48" s="179">
        <v>23</v>
      </c>
      <c r="C48" s="223" t="s">
        <v>246</v>
      </c>
      <c r="D48" s="224">
        <v>3</v>
      </c>
      <c r="E48" s="245" t="e">
        <f>#REF!</f>
        <v>#REF!</v>
      </c>
      <c r="F48" s="241" t="e">
        <f t="shared" si="4"/>
        <v>#REF!</v>
      </c>
      <c r="G48" s="253"/>
      <c r="H48" s="251"/>
      <c r="I48" s="252"/>
      <c r="J48" s="231">
        <v>2</v>
      </c>
      <c r="K48" s="236" t="e">
        <f>L48/J48</f>
        <v>#REF!</v>
      </c>
      <c r="L48" s="235" t="e">
        <f>#REF!</f>
        <v>#REF!</v>
      </c>
      <c r="M48" s="264"/>
      <c r="N48" s="211"/>
      <c r="O48" s="208">
        <f t="shared" si="7"/>
        <v>0</v>
      </c>
      <c r="P48" s="231"/>
      <c r="Q48" s="236"/>
      <c r="R48" s="237"/>
      <c r="S48" s="272"/>
      <c r="T48" s="208"/>
      <c r="U48" s="209"/>
      <c r="V48" s="243"/>
      <c r="W48" s="277"/>
      <c r="X48" s="277"/>
      <c r="Y48" s="284"/>
      <c r="Z48" s="282"/>
      <c r="AA48" s="282"/>
      <c r="AB48" s="292">
        <v>3</v>
      </c>
      <c r="AC48" s="290" t="e">
        <f t="shared" si="2"/>
        <v>#REF!</v>
      </c>
      <c r="AD48" s="291" t="e">
        <f>#REF!</f>
        <v>#REF!</v>
      </c>
      <c r="AE48" s="472"/>
      <c r="AF48" s="301" t="s">
        <v>354</v>
      </c>
      <c r="AG48" s="302"/>
      <c r="AH48" s="303" t="s">
        <v>361</v>
      </c>
      <c r="AI48" s="303" t="s">
        <v>362</v>
      </c>
      <c r="AJ48" s="304" t="s">
        <v>363</v>
      </c>
      <c r="AK48" s="305" t="s">
        <v>364</v>
      </c>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row>
    <row r="49" spans="2:87" s="227" customFormat="1" ht="15.75" thickBot="1" x14ac:dyDescent="0.3">
      <c r="B49" s="179">
        <v>24</v>
      </c>
      <c r="C49" s="223" t="s">
        <v>251</v>
      </c>
      <c r="D49" s="224">
        <v>3</v>
      </c>
      <c r="E49" s="245" t="e">
        <f>#REF!</f>
        <v>#REF!</v>
      </c>
      <c r="F49" s="241" t="e">
        <f t="shared" si="4"/>
        <v>#REF!</v>
      </c>
      <c r="G49" s="253"/>
      <c r="H49" s="251"/>
      <c r="I49" s="252"/>
      <c r="J49" s="231">
        <v>2</v>
      </c>
      <c r="K49" s="236" t="e">
        <f>L49/J49</f>
        <v>#REF!</v>
      </c>
      <c r="L49" s="235" t="e">
        <f>#REF!</f>
        <v>#REF!</v>
      </c>
      <c r="M49" s="264"/>
      <c r="N49" s="211"/>
      <c r="O49" s="208">
        <f t="shared" si="7"/>
        <v>0</v>
      </c>
      <c r="P49" s="231"/>
      <c r="Q49" s="236"/>
      <c r="R49" s="237"/>
      <c r="S49" s="272"/>
      <c r="T49" s="208"/>
      <c r="U49" s="209"/>
      <c r="V49" s="243"/>
      <c r="W49" s="277"/>
      <c r="X49" s="277"/>
      <c r="Y49" s="284"/>
      <c r="Z49" s="282"/>
      <c r="AA49" s="282"/>
      <c r="AB49" s="292">
        <v>2</v>
      </c>
      <c r="AC49" s="290" t="e">
        <f t="shared" si="2"/>
        <v>#REF!</v>
      </c>
      <c r="AD49" s="291" t="e">
        <f>#REF!</f>
        <v>#REF!</v>
      </c>
      <c r="AE49" s="472"/>
      <c r="AF49" s="301" t="s">
        <v>354</v>
      </c>
      <c r="AG49" s="302"/>
      <c r="AH49" s="303" t="s">
        <v>361</v>
      </c>
      <c r="AI49" s="303" t="s">
        <v>362</v>
      </c>
      <c r="AJ49" s="304" t="s">
        <v>363</v>
      </c>
      <c r="AK49" s="305" t="s">
        <v>364</v>
      </c>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row>
    <row r="50" spans="2:87" s="227" customFormat="1" ht="15.75" thickBot="1" x14ac:dyDescent="0.3">
      <c r="B50" s="179">
        <v>25</v>
      </c>
      <c r="C50" s="228" t="s">
        <v>252</v>
      </c>
      <c r="D50" s="224">
        <v>3</v>
      </c>
      <c r="E50" s="245" t="e">
        <f>#REF!</f>
        <v>#REF!</v>
      </c>
      <c r="F50" s="241" t="e">
        <f t="shared" si="4"/>
        <v>#REF!</v>
      </c>
      <c r="G50" s="253"/>
      <c r="H50" s="251"/>
      <c r="I50" s="252"/>
      <c r="J50" s="231">
        <v>2</v>
      </c>
      <c r="K50" s="236" t="e">
        <f t="shared" ref="K50:K52" si="8">L50/J50</f>
        <v>#REF!</v>
      </c>
      <c r="L50" s="235" t="e">
        <f>#REF!</f>
        <v>#REF!</v>
      </c>
      <c r="M50" s="264"/>
      <c r="N50" s="211"/>
      <c r="O50" s="208">
        <f t="shared" si="7"/>
        <v>0</v>
      </c>
      <c r="P50" s="231"/>
      <c r="Q50" s="236"/>
      <c r="R50" s="237"/>
      <c r="S50" s="272"/>
      <c r="T50" s="208"/>
      <c r="U50" s="209"/>
      <c r="V50" s="243"/>
      <c r="W50" s="277"/>
      <c r="X50" s="277"/>
      <c r="Y50" s="284"/>
      <c r="Z50" s="282"/>
      <c r="AA50" s="282"/>
      <c r="AB50" s="292">
        <v>3</v>
      </c>
      <c r="AC50" s="290" t="e">
        <f t="shared" si="2"/>
        <v>#REF!</v>
      </c>
      <c r="AD50" s="291" t="e">
        <f>#REF!</f>
        <v>#REF!</v>
      </c>
      <c r="AE50" s="472"/>
      <c r="AF50" s="301" t="s">
        <v>354</v>
      </c>
      <c r="AG50" s="302"/>
      <c r="AH50" s="303" t="s">
        <v>361</v>
      </c>
      <c r="AI50" s="303" t="s">
        <v>362</v>
      </c>
      <c r="AJ50" s="304" t="s">
        <v>363</v>
      </c>
      <c r="AK50" s="305" t="s">
        <v>364</v>
      </c>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row>
    <row r="51" spans="2:87" s="227" customFormat="1" ht="15.75" thickBot="1" x14ac:dyDescent="0.3">
      <c r="B51" s="179"/>
      <c r="C51" s="228" t="s">
        <v>147</v>
      </c>
      <c r="D51" s="224">
        <v>4</v>
      </c>
      <c r="E51" s="245" t="e">
        <f>#REF!</f>
        <v>#REF!</v>
      </c>
      <c r="F51" s="241" t="e">
        <f t="shared" si="4"/>
        <v>#REF!</v>
      </c>
      <c r="G51" s="253"/>
      <c r="H51" s="251"/>
      <c r="I51" s="252"/>
      <c r="J51" s="231">
        <v>4</v>
      </c>
      <c r="K51" s="236" t="e">
        <f t="shared" si="8"/>
        <v>#REF!</v>
      </c>
      <c r="L51" s="235" t="e">
        <f>#REF!</f>
        <v>#REF!</v>
      </c>
      <c r="M51" s="264"/>
      <c r="N51" s="211"/>
      <c r="O51" s="208">
        <f t="shared" si="7"/>
        <v>0</v>
      </c>
      <c r="P51" s="231"/>
      <c r="Q51" s="236"/>
      <c r="R51" s="237"/>
      <c r="S51" s="272"/>
      <c r="T51" s="208"/>
      <c r="U51" s="209"/>
      <c r="V51" s="243"/>
      <c r="W51" s="277"/>
      <c r="X51" s="277"/>
      <c r="Y51" s="284"/>
      <c r="Z51" s="282"/>
      <c r="AA51" s="282"/>
      <c r="AB51" s="292">
        <v>2</v>
      </c>
      <c r="AC51" s="290" t="e">
        <f t="shared" si="2"/>
        <v>#REF!</v>
      </c>
      <c r="AD51" s="291" t="e">
        <f>#REF!</f>
        <v>#REF!</v>
      </c>
      <c r="AE51" s="472"/>
      <c r="AF51" s="301" t="s">
        <v>354</v>
      </c>
      <c r="AG51" s="302"/>
      <c r="AH51" s="303" t="s">
        <v>361</v>
      </c>
      <c r="AI51" s="303" t="s">
        <v>362</v>
      </c>
      <c r="AJ51" s="304" t="s">
        <v>363</v>
      </c>
      <c r="AK51" s="305" t="s">
        <v>364</v>
      </c>
      <c r="AM51" s="19"/>
      <c r="AN51" s="19"/>
      <c r="AO51" s="19"/>
      <c r="AP51" s="19"/>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c r="BW51" s="19"/>
      <c r="BX51" s="19"/>
      <c r="BY51" s="19"/>
      <c r="BZ51" s="19"/>
      <c r="CA51" s="19"/>
      <c r="CB51" s="19"/>
      <c r="CC51" s="19"/>
      <c r="CD51" s="19"/>
      <c r="CE51" s="19"/>
      <c r="CF51" s="19"/>
      <c r="CG51" s="19"/>
      <c r="CH51" s="19"/>
      <c r="CI51" s="19"/>
    </row>
    <row r="52" spans="2:87" s="227" customFormat="1" ht="15.75" thickBot="1" x14ac:dyDescent="0.3">
      <c r="B52" s="186"/>
      <c r="C52" s="184"/>
      <c r="D52" s="187"/>
      <c r="E52" s="245"/>
      <c r="F52" s="241"/>
      <c r="G52" s="253"/>
      <c r="H52" s="251"/>
      <c r="I52" s="252"/>
      <c r="J52" s="231"/>
      <c r="K52" s="236" t="e">
        <f t="shared" si="8"/>
        <v>#REF!</v>
      </c>
      <c r="L52" s="235" t="e">
        <f>#REF!</f>
        <v>#REF!</v>
      </c>
      <c r="M52" s="264"/>
      <c r="N52" s="211"/>
      <c r="O52" s="208">
        <f t="shared" si="7"/>
        <v>0</v>
      </c>
      <c r="P52" s="231"/>
      <c r="Q52" s="236"/>
      <c r="R52" s="237"/>
      <c r="S52" s="272"/>
      <c r="T52" s="208"/>
      <c r="U52" s="209"/>
      <c r="V52" s="243"/>
      <c r="W52" s="277"/>
      <c r="X52" s="277"/>
      <c r="Y52" s="284"/>
      <c r="Z52" s="282"/>
      <c r="AA52" s="282"/>
      <c r="AB52" s="292">
        <v>3</v>
      </c>
      <c r="AC52" s="290" t="e">
        <f t="shared" si="2"/>
        <v>#REF!</v>
      </c>
      <c r="AD52" s="291" t="e">
        <f>#REF!</f>
        <v>#REF!</v>
      </c>
      <c r="AE52" s="472"/>
      <c r="AF52" s="301" t="s">
        <v>354</v>
      </c>
      <c r="AG52" s="302"/>
      <c r="AH52" s="303" t="s">
        <v>361</v>
      </c>
      <c r="AI52" s="303" t="s">
        <v>362</v>
      </c>
      <c r="AJ52" s="304" t="s">
        <v>363</v>
      </c>
      <c r="AK52" s="305" t="s">
        <v>364</v>
      </c>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row>
    <row r="53" spans="2:87" ht="15.75" thickBot="1" x14ac:dyDescent="0.3">
      <c r="B53" s="189"/>
      <c r="C53" s="198"/>
      <c r="D53" s="246">
        <f>SUM(D33:D52)</f>
        <v>69</v>
      </c>
      <c r="E53" s="247"/>
      <c r="F53" s="248" t="e">
        <f>SUM(F31:F52)</f>
        <v>#REF!</v>
      </c>
      <c r="G53" s="249">
        <f>SUM(G31:G52)</f>
        <v>23</v>
      </c>
      <c r="H53" s="254"/>
      <c r="I53" s="255">
        <f>SUM(I31:I52)</f>
        <v>0</v>
      </c>
      <c r="J53" s="259">
        <f>SUM(J31:J52)</f>
        <v>28</v>
      </c>
      <c r="K53" s="260"/>
      <c r="L53" s="261" t="e">
        <f>SUM(L31:L52)</f>
        <v>#REF!</v>
      </c>
      <c r="M53" s="265">
        <f>SUM(M31:M52)</f>
        <v>27</v>
      </c>
      <c r="N53" s="266"/>
      <c r="O53" s="266" t="e">
        <f>SUM(O31:O52)</f>
        <v>#REF!</v>
      </c>
      <c r="P53" s="261">
        <f>SUM(P31:P52)</f>
        <v>1</v>
      </c>
      <c r="Q53" s="260"/>
      <c r="R53" s="269" t="e">
        <f>SUM(R31:R52)</f>
        <v>#REF!</v>
      </c>
      <c r="S53" s="273"/>
      <c r="T53" s="266"/>
      <c r="U53" s="266"/>
      <c r="V53" s="278"/>
      <c r="W53" s="279"/>
      <c r="X53" s="279"/>
      <c r="Y53" s="286"/>
      <c r="Z53" s="286"/>
      <c r="AA53" s="286"/>
      <c r="AB53" s="293">
        <f>SUM(AB31:AB52)</f>
        <v>104</v>
      </c>
      <c r="AC53" s="294"/>
      <c r="AD53" s="295" t="e">
        <f>SUM(AD31:AD52)</f>
        <v>#REF!</v>
      </c>
      <c r="AE53" s="306"/>
      <c r="AF53" s="306"/>
      <c r="AG53" s="306"/>
      <c r="AH53" s="306"/>
      <c r="AI53" s="306"/>
      <c r="AJ53" s="306"/>
      <c r="AK53" s="306"/>
    </row>
    <row r="54" spans="2:87" x14ac:dyDescent="0.25">
      <c r="D54" s="479" t="s">
        <v>317</v>
      </c>
      <c r="E54" s="479"/>
      <c r="F54" s="199">
        <f>D53*11000</f>
        <v>759000</v>
      </c>
      <c r="G54" s="480" t="s">
        <v>318</v>
      </c>
      <c r="H54" s="480"/>
      <c r="I54" s="256">
        <f>G53*5000</f>
        <v>115000</v>
      </c>
      <c r="J54" s="427" t="s">
        <v>319</v>
      </c>
      <c r="K54" s="428"/>
      <c r="L54" s="262">
        <f>J53*3500</f>
        <v>98000</v>
      </c>
      <c r="M54" s="430" t="s">
        <v>319</v>
      </c>
      <c r="N54" s="431"/>
      <c r="O54" s="200">
        <f>M53*4000</f>
        <v>108000</v>
      </c>
      <c r="P54" s="427" t="s">
        <v>319</v>
      </c>
      <c r="Q54" s="428"/>
      <c r="R54" s="270">
        <f>P53*3500</f>
        <v>3500</v>
      </c>
      <c r="S54" s="274"/>
      <c r="T54" s="274"/>
      <c r="U54" s="274"/>
      <c r="V54" s="475" t="s">
        <v>319</v>
      </c>
      <c r="W54" s="476"/>
      <c r="X54" s="280"/>
      <c r="Y54" s="285"/>
      <c r="Z54" s="285"/>
      <c r="AA54" s="285"/>
      <c r="AB54" s="460" t="s">
        <v>319</v>
      </c>
      <c r="AC54" s="462"/>
      <c r="AD54" s="296">
        <f>AB53*1920</f>
        <v>199680</v>
      </c>
      <c r="AE54" s="306"/>
      <c r="AF54" s="306"/>
      <c r="AG54" s="306"/>
      <c r="AH54" s="306"/>
      <c r="AI54" s="306"/>
      <c r="AJ54" s="306"/>
      <c r="AK54" s="306"/>
    </row>
    <row r="55" spans="2:87" x14ac:dyDescent="0.25">
      <c r="D55" s="479" t="s">
        <v>320</v>
      </c>
      <c r="E55" s="479"/>
      <c r="F55" s="201" t="e">
        <f>F53</f>
        <v>#REF!</v>
      </c>
      <c r="G55" s="480" t="s">
        <v>321</v>
      </c>
      <c r="H55" s="480"/>
      <c r="I55" s="256">
        <f>I53</f>
        <v>0</v>
      </c>
      <c r="J55" s="427" t="s">
        <v>321</v>
      </c>
      <c r="K55" s="428"/>
      <c r="L55" s="238" t="e">
        <f>L53+R55</f>
        <v>#REF!</v>
      </c>
      <c r="M55" s="430" t="s">
        <v>321</v>
      </c>
      <c r="N55" s="431"/>
      <c r="O55" s="202" t="e">
        <f>O53</f>
        <v>#REF!</v>
      </c>
      <c r="P55" s="427" t="s">
        <v>321</v>
      </c>
      <c r="Q55" s="428"/>
      <c r="R55" s="238" t="e">
        <f>R53</f>
        <v>#REF!</v>
      </c>
      <c r="S55" s="274"/>
      <c r="T55" s="274"/>
      <c r="U55" s="274"/>
      <c r="V55" s="475" t="s">
        <v>321</v>
      </c>
      <c r="W55" s="476"/>
      <c r="X55" s="281" t="e">
        <f>#REF!</f>
        <v>#REF!</v>
      </c>
      <c r="Y55" s="285"/>
      <c r="Z55" s="285"/>
      <c r="AA55" s="285"/>
      <c r="AB55" s="460" t="s">
        <v>321</v>
      </c>
      <c r="AC55" s="462"/>
      <c r="AD55" s="297" t="e">
        <f>AD53</f>
        <v>#REF!</v>
      </c>
      <c r="AE55" s="306"/>
      <c r="AF55" s="306"/>
      <c r="AG55" s="306"/>
      <c r="AH55" s="306"/>
      <c r="AI55" s="306"/>
      <c r="AJ55" s="306"/>
      <c r="AK55" s="306"/>
    </row>
    <row r="56" spans="2:87" x14ac:dyDescent="0.25">
      <c r="D56" s="479" t="s">
        <v>322</v>
      </c>
      <c r="E56" s="479"/>
      <c r="F56" s="201" t="e">
        <f>F54-F55</f>
        <v>#REF!</v>
      </c>
      <c r="G56" s="480" t="s">
        <v>322</v>
      </c>
      <c r="H56" s="480"/>
      <c r="I56" s="256">
        <f>SUM(I54-I55)</f>
        <v>115000</v>
      </c>
      <c r="J56" s="427" t="s">
        <v>322</v>
      </c>
      <c r="K56" s="428"/>
      <c r="L56" s="238" t="e">
        <f>L54-L55</f>
        <v>#REF!</v>
      </c>
      <c r="M56" s="430" t="s">
        <v>322</v>
      </c>
      <c r="N56" s="431"/>
      <c r="O56" s="202" t="e">
        <f>SUM(O54-O55)</f>
        <v>#REF!</v>
      </c>
      <c r="P56" s="427" t="s">
        <v>322</v>
      </c>
      <c r="Q56" s="428"/>
      <c r="R56" s="238" t="e">
        <f>R54-R55</f>
        <v>#REF!</v>
      </c>
      <c r="S56" s="274"/>
      <c r="T56" s="274"/>
      <c r="U56" s="274"/>
      <c r="V56" s="475" t="s">
        <v>322</v>
      </c>
      <c r="W56" s="476"/>
      <c r="X56" s="281" t="e">
        <f>SUM(X54-X55)</f>
        <v>#REF!</v>
      </c>
      <c r="Y56" s="285"/>
      <c r="Z56" s="285"/>
      <c r="AA56" s="285"/>
      <c r="AB56" s="460" t="s">
        <v>322</v>
      </c>
      <c r="AC56" s="462"/>
      <c r="AD56" s="297" t="e">
        <f>SUM(AD54-AD55)</f>
        <v>#REF!</v>
      </c>
      <c r="AE56" s="306"/>
      <c r="AF56" s="306"/>
      <c r="AG56" s="306"/>
      <c r="AH56" s="306"/>
      <c r="AI56" s="306"/>
      <c r="AJ56" s="306"/>
      <c r="AK56" s="306"/>
    </row>
    <row r="57" spans="2:87" x14ac:dyDescent="0.25">
      <c r="D57" s="478" t="s">
        <v>323</v>
      </c>
      <c r="E57" s="478"/>
      <c r="F57" s="19"/>
      <c r="G57" s="426" t="s">
        <v>324</v>
      </c>
      <c r="H57" s="426"/>
      <c r="I57" s="19"/>
      <c r="J57" s="426" t="s">
        <v>325</v>
      </c>
      <c r="K57" s="426"/>
      <c r="L57" s="19"/>
      <c r="M57" s="426" t="s">
        <v>326</v>
      </c>
      <c r="N57" s="426"/>
      <c r="O57" s="19"/>
      <c r="P57" s="426" t="s">
        <v>327</v>
      </c>
      <c r="Q57" s="426"/>
      <c r="S57" s="203"/>
      <c r="V57" s="477" t="s">
        <v>328</v>
      </c>
      <c r="W57" s="477"/>
      <c r="AB57" s="477" t="s">
        <v>328</v>
      </c>
      <c r="AC57" s="477"/>
    </row>
    <row r="58" spans="2:87" x14ac:dyDescent="0.25">
      <c r="D58" s="425" t="s">
        <v>329</v>
      </c>
      <c r="E58" s="425"/>
      <c r="F58" s="19"/>
      <c r="G58" s="429" t="s">
        <v>330</v>
      </c>
      <c r="H58" s="425"/>
      <c r="I58" s="19"/>
      <c r="J58" s="425" t="s">
        <v>331</v>
      </c>
      <c r="K58" s="425"/>
      <c r="L58" s="19"/>
      <c r="M58" s="429" t="s">
        <v>332</v>
      </c>
      <c r="N58" s="429"/>
      <c r="O58" s="19"/>
      <c r="P58" s="429" t="s">
        <v>333</v>
      </c>
      <c r="Q58" s="429"/>
      <c r="V58" s="429" t="s">
        <v>334</v>
      </c>
      <c r="W58" s="429"/>
      <c r="AB58" s="429" t="s">
        <v>335</v>
      </c>
      <c r="AC58" s="429"/>
    </row>
  </sheetData>
  <mergeCells count="82">
    <mergeCell ref="P58:Q58"/>
    <mergeCell ref="P57:Q57"/>
    <mergeCell ref="P56:Q56"/>
    <mergeCell ref="P55:Q55"/>
    <mergeCell ref="P54:Q54"/>
    <mergeCell ref="D57:E57"/>
    <mergeCell ref="G57:H57"/>
    <mergeCell ref="D58:E58"/>
    <mergeCell ref="G58:H58"/>
    <mergeCell ref="D54:E54"/>
    <mergeCell ref="G54:H54"/>
    <mergeCell ref="D55:E55"/>
    <mergeCell ref="G55:H55"/>
    <mergeCell ref="D56:E56"/>
    <mergeCell ref="G56:H56"/>
    <mergeCell ref="AF37:AG37"/>
    <mergeCell ref="AF38:AG38"/>
    <mergeCell ref="V58:W58"/>
    <mergeCell ref="AB58:AC58"/>
    <mergeCell ref="V56:W56"/>
    <mergeCell ref="AB56:AC56"/>
    <mergeCell ref="V57:W57"/>
    <mergeCell ref="AB57:AC57"/>
    <mergeCell ref="V54:W54"/>
    <mergeCell ref="AB54:AC54"/>
    <mergeCell ref="V55:W55"/>
    <mergeCell ref="AB55:AC55"/>
    <mergeCell ref="AF42:AG42"/>
    <mergeCell ref="AH29:AK29"/>
    <mergeCell ref="AF30:AG30"/>
    <mergeCell ref="AE31:AE52"/>
    <mergeCell ref="AF31:AG31"/>
    <mergeCell ref="AF32:AG32"/>
    <mergeCell ref="AF33:AG33"/>
    <mergeCell ref="AF34:AG34"/>
    <mergeCell ref="AF39:AG39"/>
    <mergeCell ref="AF35:AG35"/>
    <mergeCell ref="AF40:AG40"/>
    <mergeCell ref="AF43:AG43"/>
    <mergeCell ref="AF44:AG44"/>
    <mergeCell ref="AF45:AG45"/>
    <mergeCell ref="AF46:AG46"/>
    <mergeCell ref="AF36:AG36"/>
    <mergeCell ref="AF47:AG47"/>
    <mergeCell ref="S29:U29"/>
    <mergeCell ref="V29:X29"/>
    <mergeCell ref="Y29:AA29"/>
    <mergeCell ref="AB29:AD29"/>
    <mergeCell ref="AE29:AG29"/>
    <mergeCell ref="B29:B30"/>
    <mergeCell ref="C29:C30"/>
    <mergeCell ref="D29:F29"/>
    <mergeCell ref="G29:I29"/>
    <mergeCell ref="P29:R29"/>
    <mergeCell ref="M29:O29"/>
    <mergeCell ref="J29:L29"/>
    <mergeCell ref="B2:B3"/>
    <mergeCell ref="C2:C3"/>
    <mergeCell ref="D2:E2"/>
    <mergeCell ref="F2:G2"/>
    <mergeCell ref="B28:E28"/>
    <mergeCell ref="G28:H28"/>
    <mergeCell ref="H2:I2"/>
    <mergeCell ref="Q2:Q3"/>
    <mergeCell ref="M2:M3"/>
    <mergeCell ref="N2:N3"/>
    <mergeCell ref="O2:O3"/>
    <mergeCell ref="P2:P3"/>
    <mergeCell ref="M28:N28"/>
    <mergeCell ref="J28:K28"/>
    <mergeCell ref="J2:K2"/>
    <mergeCell ref="L2:L3"/>
    <mergeCell ref="J58:K58"/>
    <mergeCell ref="J57:K57"/>
    <mergeCell ref="J56:K56"/>
    <mergeCell ref="J55:K55"/>
    <mergeCell ref="J54:K54"/>
    <mergeCell ref="M58:N58"/>
    <mergeCell ref="M57:N57"/>
    <mergeCell ref="M56:N56"/>
    <mergeCell ref="M55:N55"/>
    <mergeCell ref="M54:N5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DD3D-C2C7-48AF-A358-C45AB56A0F58}">
  <dimension ref="A2:AE45"/>
  <sheetViews>
    <sheetView topLeftCell="A3" zoomScale="60" zoomScaleNormal="60" workbookViewId="0">
      <pane xSplit="4" ySplit="1" topLeftCell="R4" activePane="bottomRight" state="frozen"/>
      <selection activeCell="A3" sqref="A3"/>
      <selection pane="topRight" activeCell="E3" sqref="E3"/>
      <selection pane="bottomLeft" activeCell="A4" sqref="A4"/>
      <selection pane="bottomRight" activeCell="D7" sqref="D7:O7"/>
    </sheetView>
  </sheetViews>
  <sheetFormatPr defaultRowHeight="15" x14ac:dyDescent="0.25"/>
  <cols>
    <col min="1" max="1" width="4.85546875" customWidth="1"/>
    <col min="2" max="2" width="12.42578125" customWidth="1"/>
    <col min="4" max="4" width="28.7109375" customWidth="1"/>
    <col min="11" max="11" width="7.42578125" customWidth="1"/>
    <col min="12" max="12" width="12" customWidth="1"/>
  </cols>
  <sheetData>
    <row r="2" spans="1:31" ht="26.25" x14ac:dyDescent="0.4">
      <c r="A2" s="307" t="s">
        <v>371</v>
      </c>
      <c r="B2" s="307"/>
      <c r="C2" s="307"/>
      <c r="D2" s="307"/>
      <c r="E2" s="307"/>
      <c r="F2" s="307"/>
      <c r="G2" s="307"/>
      <c r="H2" s="307"/>
      <c r="I2" s="307"/>
      <c r="J2" s="307"/>
      <c r="K2" s="307"/>
      <c r="L2" s="307"/>
      <c r="M2" s="307"/>
      <c r="N2" s="307"/>
      <c r="O2" s="307"/>
      <c r="P2" s="307"/>
      <c r="Q2" s="307"/>
      <c r="R2" s="307"/>
      <c r="S2" s="307"/>
      <c r="T2" s="307"/>
      <c r="U2" s="307"/>
      <c r="V2" s="307"/>
      <c r="W2" s="307"/>
      <c r="X2" s="307"/>
      <c r="Y2" s="307"/>
      <c r="Z2" s="307"/>
      <c r="AA2" s="307"/>
      <c r="AB2" s="307"/>
      <c r="AC2" s="307"/>
      <c r="AD2" s="307"/>
      <c r="AE2" s="307"/>
    </row>
    <row r="3" spans="1:31" ht="15.75" x14ac:dyDescent="0.25">
      <c r="A3" s="308" t="s">
        <v>372</v>
      </c>
      <c r="B3" s="309"/>
      <c r="C3" s="309"/>
      <c r="D3" s="309"/>
      <c r="E3" s="309"/>
      <c r="F3" s="309"/>
      <c r="G3" s="309"/>
      <c r="H3" s="309"/>
      <c r="I3" s="309"/>
      <c r="J3" s="309"/>
      <c r="K3" s="309"/>
      <c r="L3" s="309"/>
      <c r="M3" s="309"/>
      <c r="N3" s="309"/>
      <c r="O3" s="309"/>
      <c r="P3" s="309"/>
      <c r="Q3" s="309"/>
      <c r="R3" s="481" t="s">
        <v>402</v>
      </c>
      <c r="S3" s="310" t="s">
        <v>373</v>
      </c>
      <c r="T3" s="311"/>
      <c r="U3" s="311"/>
      <c r="V3" s="311"/>
      <c r="W3" s="311"/>
      <c r="X3" s="311"/>
      <c r="Y3" s="311"/>
      <c r="Z3" s="311"/>
      <c r="AA3" s="311"/>
      <c r="AB3" s="311"/>
      <c r="AC3" s="311"/>
      <c r="AD3" s="311"/>
      <c r="AE3" s="311"/>
    </row>
    <row r="4" spans="1:31" ht="90.75" thickBot="1" x14ac:dyDescent="0.3">
      <c r="A4" s="312" t="s">
        <v>2</v>
      </c>
      <c r="B4" s="312" t="s">
        <v>374</v>
      </c>
      <c r="C4" s="313" t="s">
        <v>375</v>
      </c>
      <c r="D4" s="312" t="s">
        <v>376</v>
      </c>
      <c r="E4" s="314" t="s">
        <v>377</v>
      </c>
      <c r="F4" s="314" t="s">
        <v>378</v>
      </c>
      <c r="G4" s="314" t="s">
        <v>379</v>
      </c>
      <c r="H4" s="314" t="s">
        <v>380</v>
      </c>
      <c r="I4" s="314" t="s">
        <v>44</v>
      </c>
      <c r="J4" s="314" t="s">
        <v>381</v>
      </c>
      <c r="K4" s="314" t="s">
        <v>382</v>
      </c>
      <c r="L4" s="314" t="s">
        <v>383</v>
      </c>
      <c r="M4" s="314" t="s">
        <v>384</v>
      </c>
      <c r="N4" s="314" t="s">
        <v>327</v>
      </c>
      <c r="O4" s="314" t="s">
        <v>385</v>
      </c>
      <c r="P4" s="314" t="s">
        <v>386</v>
      </c>
      <c r="Q4" s="314" t="s">
        <v>387</v>
      </c>
      <c r="R4" s="482"/>
      <c r="S4" s="314" t="s">
        <v>377</v>
      </c>
      <c r="T4" s="314" t="s">
        <v>378</v>
      </c>
      <c r="U4" s="314" t="s">
        <v>379</v>
      </c>
      <c r="V4" s="314" t="s">
        <v>380</v>
      </c>
      <c r="W4" s="314" t="s">
        <v>44</v>
      </c>
      <c r="X4" s="314" t="s">
        <v>381</v>
      </c>
      <c r="Y4" s="314" t="s">
        <v>388</v>
      </c>
      <c r="Z4" s="314" t="s">
        <v>389</v>
      </c>
      <c r="AA4" s="314" t="s">
        <v>384</v>
      </c>
      <c r="AB4" s="314" t="s">
        <v>327</v>
      </c>
      <c r="AC4" s="314" t="s">
        <v>385</v>
      </c>
      <c r="AD4" s="314" t="s">
        <v>387</v>
      </c>
      <c r="AE4" s="312" t="s">
        <v>390</v>
      </c>
    </row>
    <row r="5" spans="1:31" ht="15.75" x14ac:dyDescent="0.25">
      <c r="A5" s="315">
        <v>1</v>
      </c>
      <c r="B5" s="338" t="s">
        <v>401</v>
      </c>
      <c r="C5" s="484" t="s">
        <v>402</v>
      </c>
      <c r="D5" s="180" t="s">
        <v>235</v>
      </c>
      <c r="E5" s="177"/>
      <c r="F5" s="177">
        <v>8</v>
      </c>
      <c r="G5" s="316"/>
      <c r="H5" s="316"/>
      <c r="I5" s="316"/>
      <c r="J5" s="316"/>
      <c r="K5" s="177">
        <v>5</v>
      </c>
      <c r="L5" s="177"/>
      <c r="M5" s="217">
        <v>4</v>
      </c>
      <c r="N5" s="177"/>
      <c r="O5" s="177">
        <v>1</v>
      </c>
      <c r="P5" s="316"/>
      <c r="Q5" s="316"/>
      <c r="R5" s="482"/>
      <c r="S5" s="315">
        <v>0</v>
      </c>
      <c r="T5" s="315">
        <v>5</v>
      </c>
      <c r="U5" s="315">
        <v>0</v>
      </c>
      <c r="V5" s="315">
        <v>0</v>
      </c>
      <c r="W5" s="315">
        <v>0</v>
      </c>
      <c r="X5" s="315">
        <v>0</v>
      </c>
      <c r="Y5" s="315">
        <v>0</v>
      </c>
      <c r="Z5" s="315">
        <v>0</v>
      </c>
      <c r="AA5" s="315">
        <v>4</v>
      </c>
      <c r="AB5" s="315">
        <v>0</v>
      </c>
      <c r="AC5" s="315">
        <v>0</v>
      </c>
      <c r="AD5" s="315">
        <v>0</v>
      </c>
      <c r="AE5" s="317"/>
    </row>
    <row r="6" spans="1:31" ht="16.5" thickBot="1" x14ac:dyDescent="0.3">
      <c r="A6" s="315">
        <v>2</v>
      </c>
      <c r="B6" s="338" t="s">
        <v>401</v>
      </c>
      <c r="C6" s="485"/>
      <c r="D6" s="182" t="s">
        <v>145</v>
      </c>
      <c r="E6" s="13"/>
      <c r="F6" s="13">
        <v>10</v>
      </c>
      <c r="G6" s="319"/>
      <c r="H6" s="319"/>
      <c r="I6" s="319"/>
      <c r="J6" s="319"/>
      <c r="K6" s="13">
        <v>7</v>
      </c>
      <c r="L6" s="13"/>
      <c r="M6" s="218">
        <v>3</v>
      </c>
      <c r="N6" s="13"/>
      <c r="O6" s="13"/>
      <c r="P6" s="319">
        <v>1</v>
      </c>
      <c r="Q6" s="319"/>
      <c r="R6" s="482"/>
      <c r="S6" s="315">
        <v>0</v>
      </c>
      <c r="T6" s="315">
        <v>3</v>
      </c>
      <c r="U6" s="315">
        <v>0</v>
      </c>
      <c r="V6" s="315">
        <v>0</v>
      </c>
      <c r="W6" s="315">
        <v>0</v>
      </c>
      <c r="X6" s="315">
        <v>0</v>
      </c>
      <c r="Y6" s="315">
        <v>0</v>
      </c>
      <c r="Z6" s="315">
        <v>2</v>
      </c>
      <c r="AA6" s="315">
        <v>4</v>
      </c>
      <c r="AB6" s="315">
        <v>0</v>
      </c>
      <c r="AC6" s="315">
        <v>0</v>
      </c>
      <c r="AD6" s="315">
        <v>0</v>
      </c>
      <c r="AE6" s="317"/>
    </row>
    <row r="7" spans="1:31" ht="15.75" x14ac:dyDescent="0.25">
      <c r="A7" s="315">
        <v>3</v>
      </c>
      <c r="B7" s="338" t="s">
        <v>401</v>
      </c>
      <c r="C7" s="485"/>
      <c r="D7" s="180" t="s">
        <v>255</v>
      </c>
      <c r="E7" s="177"/>
      <c r="F7" s="177">
        <v>8</v>
      </c>
      <c r="G7" s="320"/>
      <c r="H7" s="320"/>
      <c r="I7" s="320"/>
      <c r="J7" s="320"/>
      <c r="K7" s="177">
        <v>3</v>
      </c>
      <c r="L7" s="177"/>
      <c r="M7" s="217">
        <v>5</v>
      </c>
      <c r="N7" s="177"/>
      <c r="O7" s="177"/>
      <c r="P7" s="320"/>
      <c r="Q7" s="320"/>
      <c r="R7" s="482"/>
      <c r="S7" s="315">
        <v>0</v>
      </c>
      <c r="T7" s="315">
        <v>8</v>
      </c>
      <c r="U7" s="315">
        <v>0</v>
      </c>
      <c r="V7" s="315">
        <v>0</v>
      </c>
      <c r="W7" s="315">
        <v>0</v>
      </c>
      <c r="X7" s="315">
        <v>0</v>
      </c>
      <c r="Y7" s="315">
        <v>0</v>
      </c>
      <c r="Z7" s="315">
        <v>0</v>
      </c>
      <c r="AA7" s="315">
        <v>1</v>
      </c>
      <c r="AB7" s="315">
        <v>0</v>
      </c>
      <c r="AC7" s="315">
        <v>0</v>
      </c>
      <c r="AD7" s="315">
        <v>0</v>
      </c>
      <c r="AE7" s="317"/>
    </row>
    <row r="8" spans="1:31" ht="15.75" x14ac:dyDescent="0.25">
      <c r="A8" s="315">
        <v>4</v>
      </c>
      <c r="B8" s="338" t="s">
        <v>401</v>
      </c>
      <c r="C8" s="485"/>
      <c r="D8" s="48" t="s">
        <v>256</v>
      </c>
      <c r="E8" s="13"/>
      <c r="F8" s="13">
        <v>7</v>
      </c>
      <c r="G8" s="319"/>
      <c r="H8" s="319"/>
      <c r="I8" s="319"/>
      <c r="J8" s="319"/>
      <c r="K8" s="13">
        <v>5</v>
      </c>
      <c r="L8" s="13"/>
      <c r="M8" s="218">
        <v>5</v>
      </c>
      <c r="N8" s="13"/>
      <c r="O8" s="13"/>
      <c r="P8" s="319"/>
      <c r="Q8" s="319"/>
      <c r="R8" s="482"/>
      <c r="S8" s="315">
        <v>0</v>
      </c>
      <c r="T8" s="315">
        <v>6</v>
      </c>
      <c r="U8" s="315">
        <v>0</v>
      </c>
      <c r="V8" s="315">
        <v>0</v>
      </c>
      <c r="W8" s="315">
        <v>0</v>
      </c>
      <c r="X8" s="315">
        <v>0</v>
      </c>
      <c r="Y8" s="315">
        <v>0</v>
      </c>
      <c r="Z8" s="315">
        <v>0</v>
      </c>
      <c r="AA8" s="315">
        <v>2</v>
      </c>
      <c r="AB8" s="315">
        <v>0</v>
      </c>
      <c r="AC8" s="315">
        <v>0</v>
      </c>
      <c r="AD8" s="315">
        <v>0</v>
      </c>
      <c r="AE8" s="317"/>
    </row>
    <row r="9" spans="1:31" ht="15.75" x14ac:dyDescent="0.25">
      <c r="A9" s="315">
        <v>5</v>
      </c>
      <c r="B9" s="338" t="s">
        <v>401</v>
      </c>
      <c r="C9" s="485"/>
      <c r="D9" s="48" t="s">
        <v>257</v>
      </c>
      <c r="E9" s="13">
        <v>2</v>
      </c>
      <c r="F9" s="13">
        <v>11</v>
      </c>
      <c r="G9" s="319"/>
      <c r="H9" s="319"/>
      <c r="I9" s="319"/>
      <c r="J9" s="319"/>
      <c r="K9" s="13">
        <v>5</v>
      </c>
      <c r="L9" s="13"/>
      <c r="M9" s="218">
        <v>5</v>
      </c>
      <c r="N9" s="13"/>
      <c r="O9" s="13"/>
      <c r="P9" s="319">
        <v>1</v>
      </c>
      <c r="Q9" s="319"/>
      <c r="R9" s="482"/>
      <c r="S9" s="315">
        <v>0</v>
      </c>
      <c r="T9" s="315">
        <v>4</v>
      </c>
      <c r="U9" s="315">
        <v>0</v>
      </c>
      <c r="V9" s="315">
        <v>0</v>
      </c>
      <c r="W9" s="315">
        <v>0</v>
      </c>
      <c r="X9" s="315">
        <v>0</v>
      </c>
      <c r="Y9" s="315">
        <v>0</v>
      </c>
      <c r="Z9" s="315">
        <v>0</v>
      </c>
      <c r="AA9" s="315">
        <v>2</v>
      </c>
      <c r="AB9" s="315">
        <v>0</v>
      </c>
      <c r="AC9" s="315">
        <v>0</v>
      </c>
      <c r="AD9" s="315">
        <v>0</v>
      </c>
      <c r="AE9" s="315"/>
    </row>
    <row r="10" spans="1:31" ht="15.75" x14ac:dyDescent="0.25">
      <c r="A10" s="315">
        <v>6</v>
      </c>
      <c r="B10" s="338" t="s">
        <v>401</v>
      </c>
      <c r="C10" s="485"/>
      <c r="D10" s="48" t="s">
        <v>260</v>
      </c>
      <c r="E10" s="13">
        <v>6</v>
      </c>
      <c r="F10" s="13">
        <v>8</v>
      </c>
      <c r="G10" s="319"/>
      <c r="H10" s="319"/>
      <c r="I10" s="319"/>
      <c r="J10" s="319"/>
      <c r="K10" s="13">
        <v>7</v>
      </c>
      <c r="L10" s="13"/>
      <c r="M10" s="218">
        <v>4</v>
      </c>
      <c r="N10" s="13"/>
      <c r="O10" s="13"/>
      <c r="P10" s="319"/>
      <c r="Q10" s="319"/>
      <c r="R10" s="482"/>
      <c r="S10" s="315">
        <v>0</v>
      </c>
      <c r="T10" s="315">
        <v>1</v>
      </c>
      <c r="U10" s="315">
        <v>0</v>
      </c>
      <c r="V10" s="315">
        <v>0</v>
      </c>
      <c r="W10" s="315">
        <v>0</v>
      </c>
      <c r="X10" s="315">
        <v>0</v>
      </c>
      <c r="Y10" s="315">
        <v>0</v>
      </c>
      <c r="Z10" s="315">
        <v>2</v>
      </c>
      <c r="AA10" s="315">
        <v>1</v>
      </c>
      <c r="AB10" s="315">
        <v>0</v>
      </c>
      <c r="AC10" s="315">
        <v>0</v>
      </c>
      <c r="AD10" s="315">
        <v>0</v>
      </c>
      <c r="AE10" s="317"/>
    </row>
    <row r="11" spans="1:31" ht="15.75" x14ac:dyDescent="0.25">
      <c r="A11" s="315">
        <v>7</v>
      </c>
      <c r="B11" s="338" t="s">
        <v>401</v>
      </c>
      <c r="C11" s="485"/>
      <c r="D11" s="48" t="s">
        <v>243</v>
      </c>
      <c r="E11" s="13"/>
      <c r="F11" s="13">
        <v>5</v>
      </c>
      <c r="G11" s="320"/>
      <c r="H11" s="320"/>
      <c r="I11" s="320"/>
      <c r="J11" s="320"/>
      <c r="K11" s="13">
        <v>5</v>
      </c>
      <c r="L11" s="13"/>
      <c r="M11" s="218">
        <v>4</v>
      </c>
      <c r="N11" s="13"/>
      <c r="O11" s="13"/>
      <c r="P11" s="320"/>
      <c r="Q11" s="320"/>
      <c r="R11" s="482"/>
      <c r="S11" s="318">
        <v>2</v>
      </c>
      <c r="T11" s="318">
        <v>0</v>
      </c>
      <c r="U11" s="318">
        <v>0</v>
      </c>
      <c r="V11" s="318">
        <v>0</v>
      </c>
      <c r="W11" s="318">
        <v>0</v>
      </c>
      <c r="X11" s="318">
        <v>0</v>
      </c>
      <c r="Y11" s="318">
        <v>0</v>
      </c>
      <c r="Z11" s="318">
        <v>0</v>
      </c>
      <c r="AA11" s="318">
        <v>1</v>
      </c>
      <c r="AB11" s="318">
        <v>0</v>
      </c>
      <c r="AC11" s="318">
        <v>0</v>
      </c>
      <c r="AD11" s="318">
        <v>0</v>
      </c>
      <c r="AE11" s="318"/>
    </row>
    <row r="12" spans="1:31" ht="15.75" x14ac:dyDescent="0.25">
      <c r="A12" s="315">
        <v>8</v>
      </c>
      <c r="B12" s="338" t="s">
        <v>401</v>
      </c>
      <c r="C12" s="485"/>
      <c r="D12" s="48" t="s">
        <v>261</v>
      </c>
      <c r="E12" s="13"/>
      <c r="F12" s="13">
        <v>10</v>
      </c>
      <c r="G12" s="320"/>
      <c r="H12" s="320"/>
      <c r="I12" s="320"/>
      <c r="J12" s="320"/>
      <c r="K12" s="13">
        <v>5</v>
      </c>
      <c r="L12" s="13"/>
      <c r="M12" s="218">
        <v>2</v>
      </c>
      <c r="N12" s="13"/>
      <c r="O12" s="13"/>
      <c r="P12" s="320"/>
      <c r="Q12" s="320"/>
      <c r="R12" s="482"/>
      <c r="S12" s="315">
        <v>0</v>
      </c>
      <c r="T12" s="315">
        <v>2</v>
      </c>
      <c r="U12" s="315">
        <v>0</v>
      </c>
      <c r="V12" s="315">
        <v>0</v>
      </c>
      <c r="W12" s="315">
        <v>0</v>
      </c>
      <c r="X12" s="315">
        <v>0</v>
      </c>
      <c r="Y12" s="315">
        <v>0</v>
      </c>
      <c r="Z12" s="315">
        <v>0</v>
      </c>
      <c r="AA12" s="315">
        <v>5</v>
      </c>
      <c r="AB12" s="315">
        <v>0</v>
      </c>
      <c r="AC12" s="315">
        <v>0</v>
      </c>
      <c r="AD12" s="315">
        <v>0</v>
      </c>
      <c r="AE12" s="317"/>
    </row>
    <row r="13" spans="1:31" ht="15.75" x14ac:dyDescent="0.25">
      <c r="A13" s="315">
        <v>9</v>
      </c>
      <c r="B13" s="338" t="s">
        <v>401</v>
      </c>
      <c r="C13" s="485"/>
      <c r="D13" s="48" t="s">
        <v>181</v>
      </c>
      <c r="E13" s="13">
        <v>2</v>
      </c>
      <c r="F13" s="13"/>
      <c r="G13" s="319"/>
      <c r="H13" s="319"/>
      <c r="I13" s="319"/>
      <c r="J13" s="319"/>
      <c r="K13" s="13">
        <v>2</v>
      </c>
      <c r="L13" s="13">
        <v>4</v>
      </c>
      <c r="M13" s="218"/>
      <c r="N13" s="13"/>
      <c r="O13" s="13"/>
      <c r="P13" s="319"/>
      <c r="Q13" s="319"/>
      <c r="R13" s="482"/>
      <c r="S13" s="318">
        <v>2</v>
      </c>
      <c r="T13" s="318"/>
      <c r="U13" s="318"/>
      <c r="V13" s="318"/>
      <c r="W13" s="318"/>
      <c r="X13" s="318"/>
      <c r="Y13" s="318"/>
      <c r="Z13" s="318">
        <v>2</v>
      </c>
      <c r="AA13" s="315">
        <v>1</v>
      </c>
      <c r="AB13" s="315">
        <v>0</v>
      </c>
      <c r="AC13" s="315">
        <v>0</v>
      </c>
      <c r="AD13" s="315">
        <v>0</v>
      </c>
      <c r="AE13" s="315"/>
    </row>
    <row r="14" spans="1:31" ht="15.75" x14ac:dyDescent="0.25">
      <c r="A14" s="315">
        <v>10</v>
      </c>
      <c r="B14" s="338" t="s">
        <v>401</v>
      </c>
      <c r="C14" s="485"/>
      <c r="D14" s="48" t="s">
        <v>234</v>
      </c>
      <c r="E14" s="13">
        <v>2</v>
      </c>
      <c r="F14" s="13"/>
      <c r="G14" s="340"/>
      <c r="H14" s="340"/>
      <c r="I14" s="340"/>
      <c r="J14" s="340"/>
      <c r="K14" s="13">
        <v>2</v>
      </c>
      <c r="L14" s="13">
        <v>4</v>
      </c>
      <c r="M14" s="218"/>
      <c r="N14" s="13"/>
      <c r="O14" s="13"/>
      <c r="P14" s="340"/>
      <c r="Q14" s="340"/>
      <c r="R14" s="482"/>
      <c r="S14" s="315">
        <v>2</v>
      </c>
      <c r="T14" s="315">
        <v>0</v>
      </c>
      <c r="U14" s="315">
        <v>0</v>
      </c>
      <c r="V14" s="315">
        <v>0</v>
      </c>
      <c r="W14" s="315">
        <v>0</v>
      </c>
      <c r="X14" s="315">
        <v>0</v>
      </c>
      <c r="Y14" s="315">
        <v>0</v>
      </c>
      <c r="Z14" s="315">
        <v>0</v>
      </c>
      <c r="AA14" s="315">
        <v>0</v>
      </c>
      <c r="AB14" s="315">
        <v>0</v>
      </c>
      <c r="AC14" s="315">
        <v>0</v>
      </c>
      <c r="AD14" s="315"/>
      <c r="AE14" s="315"/>
    </row>
    <row r="15" spans="1:31" ht="15.75" x14ac:dyDescent="0.25">
      <c r="A15" s="315">
        <v>11</v>
      </c>
      <c r="B15" s="338" t="s">
        <v>401</v>
      </c>
      <c r="C15" s="485"/>
      <c r="D15" s="48" t="s">
        <v>254</v>
      </c>
      <c r="E15" s="13">
        <v>5</v>
      </c>
      <c r="F15" s="13"/>
      <c r="G15" s="340"/>
      <c r="H15" s="340"/>
      <c r="I15" s="340"/>
      <c r="J15" s="340"/>
      <c r="K15" s="13">
        <v>5</v>
      </c>
      <c r="L15" s="13">
        <v>4</v>
      </c>
      <c r="M15" s="218"/>
      <c r="N15" s="13"/>
      <c r="O15" s="13"/>
      <c r="P15" s="340"/>
      <c r="Q15" s="340"/>
      <c r="R15" s="482"/>
      <c r="S15" s="321"/>
      <c r="T15" s="321"/>
      <c r="U15" s="321"/>
      <c r="V15" s="321"/>
      <c r="W15" s="321"/>
      <c r="X15" s="321"/>
      <c r="Y15" s="321"/>
      <c r="Z15" s="321"/>
      <c r="AA15" s="321"/>
      <c r="AB15" s="321"/>
      <c r="AC15" s="321"/>
      <c r="AD15" s="321"/>
      <c r="AE15" s="322"/>
    </row>
    <row r="16" spans="1:31" s="344" customFormat="1" ht="15.75" x14ac:dyDescent="0.25">
      <c r="A16" s="321">
        <v>12</v>
      </c>
      <c r="B16" s="341" t="s">
        <v>401</v>
      </c>
      <c r="C16" s="485"/>
      <c r="D16" s="342" t="s">
        <v>262</v>
      </c>
      <c r="E16" s="33">
        <v>1</v>
      </c>
      <c r="F16" s="33">
        <v>7</v>
      </c>
      <c r="G16" s="340"/>
      <c r="H16" s="340"/>
      <c r="I16" s="340"/>
      <c r="J16" s="340"/>
      <c r="K16" s="33">
        <v>3</v>
      </c>
      <c r="L16" s="33"/>
      <c r="M16" s="343"/>
      <c r="N16" s="33"/>
      <c r="O16" s="33"/>
      <c r="P16" s="340"/>
      <c r="Q16" s="340"/>
      <c r="R16" s="482"/>
      <c r="S16" s="323">
        <v>2</v>
      </c>
      <c r="T16" s="323"/>
      <c r="U16" s="323"/>
      <c r="V16" s="323"/>
      <c r="W16" s="323"/>
      <c r="X16" s="323"/>
      <c r="Y16" s="323"/>
      <c r="Z16" s="323"/>
      <c r="AA16" s="323">
        <v>1</v>
      </c>
      <c r="AB16" s="323"/>
      <c r="AC16" s="323"/>
      <c r="AD16" s="323"/>
      <c r="AE16" s="323"/>
    </row>
    <row r="17" spans="1:31" s="344" customFormat="1" ht="15.75" x14ac:dyDescent="0.25">
      <c r="A17" s="321">
        <v>13</v>
      </c>
      <c r="B17" s="341" t="s">
        <v>401</v>
      </c>
      <c r="C17" s="485"/>
      <c r="D17" s="342" t="s">
        <v>239</v>
      </c>
      <c r="E17" s="33">
        <v>2</v>
      </c>
      <c r="F17" s="33">
        <v>7</v>
      </c>
      <c r="G17" s="340"/>
      <c r="H17" s="340"/>
      <c r="I17" s="340"/>
      <c r="J17" s="340"/>
      <c r="K17" s="33">
        <v>5</v>
      </c>
      <c r="L17" s="33"/>
      <c r="M17" s="343">
        <v>4</v>
      </c>
      <c r="N17" s="33"/>
      <c r="O17" s="33"/>
      <c r="P17" s="340"/>
      <c r="Q17" s="340"/>
      <c r="R17" s="482"/>
      <c r="S17" s="321">
        <v>1</v>
      </c>
      <c r="T17" s="321">
        <v>5</v>
      </c>
      <c r="U17" s="321"/>
      <c r="V17" s="321"/>
      <c r="W17" s="321"/>
      <c r="X17" s="321"/>
      <c r="Y17" s="321"/>
      <c r="Z17" s="321"/>
      <c r="AA17" s="321">
        <v>1</v>
      </c>
      <c r="AB17" s="321"/>
      <c r="AC17" s="321"/>
      <c r="AD17" s="321"/>
      <c r="AE17" s="322"/>
    </row>
    <row r="18" spans="1:31" s="344" customFormat="1" ht="15.75" x14ac:dyDescent="0.25">
      <c r="A18" s="321">
        <v>14</v>
      </c>
      <c r="B18" s="341" t="s">
        <v>401</v>
      </c>
      <c r="C18" s="485"/>
      <c r="D18" s="342" t="s">
        <v>242</v>
      </c>
      <c r="E18" s="33">
        <v>2</v>
      </c>
      <c r="F18" s="33">
        <v>5</v>
      </c>
      <c r="G18" s="340"/>
      <c r="H18" s="340"/>
      <c r="I18" s="340"/>
      <c r="J18" s="340"/>
      <c r="K18" s="33">
        <v>5</v>
      </c>
      <c r="L18" s="33"/>
      <c r="M18" s="343">
        <v>6</v>
      </c>
      <c r="N18" s="33"/>
      <c r="O18" s="33"/>
      <c r="P18" s="340"/>
      <c r="Q18" s="340"/>
      <c r="R18" s="482"/>
      <c r="S18" s="321">
        <v>2</v>
      </c>
      <c r="T18" s="321"/>
      <c r="U18" s="321"/>
      <c r="V18" s="321"/>
      <c r="W18" s="321"/>
      <c r="X18" s="321"/>
      <c r="Y18" s="321"/>
      <c r="Z18" s="321"/>
      <c r="AA18" s="321">
        <v>1</v>
      </c>
      <c r="AB18" s="321"/>
      <c r="AC18" s="321"/>
      <c r="AD18" s="321"/>
      <c r="AE18" s="322"/>
    </row>
    <row r="19" spans="1:31" s="344" customFormat="1" ht="15.75" x14ac:dyDescent="0.25">
      <c r="A19" s="321">
        <v>15</v>
      </c>
      <c r="B19" s="341" t="s">
        <v>401</v>
      </c>
      <c r="C19" s="485"/>
      <c r="D19" s="342" t="s">
        <v>258</v>
      </c>
      <c r="E19" s="33">
        <v>4</v>
      </c>
      <c r="F19" s="33">
        <v>11</v>
      </c>
      <c r="G19" s="323"/>
      <c r="H19" s="323"/>
      <c r="I19" s="323"/>
      <c r="J19" s="323"/>
      <c r="K19" s="33">
        <v>4</v>
      </c>
      <c r="L19" s="33">
        <v>4</v>
      </c>
      <c r="M19" s="343">
        <v>20</v>
      </c>
      <c r="N19" s="33"/>
      <c r="O19" s="33">
        <v>1</v>
      </c>
      <c r="P19" s="323"/>
      <c r="Q19" s="323"/>
      <c r="R19" s="482"/>
      <c r="S19" s="323">
        <v>2</v>
      </c>
      <c r="T19" s="323">
        <v>1</v>
      </c>
      <c r="U19" s="323"/>
      <c r="V19" s="323"/>
      <c r="W19" s="323"/>
      <c r="X19" s="323"/>
      <c r="Y19" s="323"/>
      <c r="Z19" s="323"/>
      <c r="AA19" s="323"/>
      <c r="AB19" s="323"/>
      <c r="AC19" s="323"/>
      <c r="AD19" s="323"/>
      <c r="AE19" s="323"/>
    </row>
    <row r="20" spans="1:31" s="344" customFormat="1" ht="15.75" x14ac:dyDescent="0.25">
      <c r="A20" s="321">
        <v>16</v>
      </c>
      <c r="B20" s="341" t="s">
        <v>401</v>
      </c>
      <c r="C20" s="485"/>
      <c r="D20" s="342" t="s">
        <v>316</v>
      </c>
      <c r="E20" s="33">
        <v>6</v>
      </c>
      <c r="F20" s="33">
        <v>2</v>
      </c>
      <c r="G20" s="323"/>
      <c r="H20" s="323"/>
      <c r="I20" s="323"/>
      <c r="J20" s="323"/>
      <c r="K20" s="33">
        <v>6</v>
      </c>
      <c r="L20" s="33">
        <v>6</v>
      </c>
      <c r="M20" s="343">
        <v>4</v>
      </c>
      <c r="N20" s="33"/>
      <c r="O20" s="33"/>
      <c r="P20" s="323"/>
      <c r="Q20" s="323"/>
      <c r="R20" s="482"/>
      <c r="S20" s="323">
        <v>5</v>
      </c>
      <c r="T20" s="323"/>
      <c r="U20" s="323"/>
      <c r="V20" s="323"/>
      <c r="W20" s="323"/>
      <c r="X20" s="323"/>
      <c r="Y20" s="323"/>
      <c r="Z20" s="323"/>
      <c r="AA20" s="323">
        <v>1</v>
      </c>
      <c r="AB20" s="323"/>
      <c r="AC20" s="323"/>
      <c r="AD20" s="323"/>
      <c r="AE20" s="323"/>
    </row>
    <row r="21" spans="1:31" s="344" customFormat="1" ht="15.75" x14ac:dyDescent="0.25">
      <c r="A21" s="321">
        <v>17</v>
      </c>
      <c r="B21" s="341" t="s">
        <v>401</v>
      </c>
      <c r="C21" s="485"/>
      <c r="D21" s="342" t="s">
        <v>175</v>
      </c>
      <c r="E21" s="33">
        <v>3</v>
      </c>
      <c r="F21" s="33">
        <v>8</v>
      </c>
      <c r="G21" s="323"/>
      <c r="H21" s="323"/>
      <c r="I21" s="323"/>
      <c r="J21" s="323"/>
      <c r="K21" s="33">
        <v>8</v>
      </c>
      <c r="L21" s="33"/>
      <c r="M21" s="343">
        <v>4</v>
      </c>
      <c r="N21" s="33"/>
      <c r="O21" s="33"/>
      <c r="P21" s="323"/>
      <c r="Q21" s="323"/>
      <c r="R21" s="482"/>
      <c r="S21" s="323">
        <v>4</v>
      </c>
      <c r="T21" s="323"/>
      <c r="U21" s="323"/>
      <c r="V21" s="323"/>
      <c r="W21" s="323"/>
      <c r="X21" s="323"/>
      <c r="Y21" s="323"/>
      <c r="Z21" s="323">
        <v>2</v>
      </c>
      <c r="AA21" s="323"/>
      <c r="AB21" s="323"/>
      <c r="AC21" s="323"/>
      <c r="AD21" s="323"/>
      <c r="AE21" s="323"/>
    </row>
    <row r="22" spans="1:31" s="344" customFormat="1" ht="15.75" x14ac:dyDescent="0.25">
      <c r="A22" s="321">
        <v>18</v>
      </c>
      <c r="B22" s="341" t="s">
        <v>401</v>
      </c>
      <c r="C22" s="485"/>
      <c r="D22" s="342" t="s">
        <v>249</v>
      </c>
      <c r="E22" s="33"/>
      <c r="F22" s="33">
        <v>26</v>
      </c>
      <c r="G22" s="323"/>
      <c r="H22" s="323"/>
      <c r="I22" s="323"/>
      <c r="J22" s="323"/>
      <c r="K22" s="33">
        <v>10</v>
      </c>
      <c r="L22" s="33">
        <v>3</v>
      </c>
      <c r="M22" s="343"/>
      <c r="N22" s="33"/>
      <c r="O22" s="33"/>
      <c r="P22" s="323"/>
      <c r="Q22" s="323"/>
      <c r="R22" s="482"/>
      <c r="S22" s="323"/>
      <c r="T22" s="323">
        <v>4</v>
      </c>
      <c r="U22" s="323"/>
      <c r="V22" s="323"/>
      <c r="W22" s="323"/>
      <c r="X22" s="323"/>
      <c r="Y22" s="323"/>
      <c r="Z22" s="323"/>
      <c r="AA22" s="323"/>
      <c r="AB22" s="323"/>
      <c r="AC22" s="323"/>
      <c r="AD22" s="323"/>
      <c r="AE22" s="323"/>
    </row>
    <row r="23" spans="1:31" s="344" customFormat="1" ht="15.75" x14ac:dyDescent="0.25">
      <c r="A23" s="321">
        <v>19</v>
      </c>
      <c r="B23" s="341" t="s">
        <v>401</v>
      </c>
      <c r="C23" s="485"/>
      <c r="D23" s="342" t="s">
        <v>253</v>
      </c>
      <c r="E23" s="33">
        <v>6</v>
      </c>
      <c r="F23" s="33"/>
      <c r="G23" s="323"/>
      <c r="H23" s="323"/>
      <c r="I23" s="323"/>
      <c r="J23" s="323"/>
      <c r="K23" s="33">
        <v>6</v>
      </c>
      <c r="L23" s="33">
        <v>6</v>
      </c>
      <c r="M23" s="343"/>
      <c r="N23" s="33"/>
      <c r="O23" s="33"/>
      <c r="P23" s="323"/>
      <c r="Q23" s="323"/>
      <c r="R23" s="482"/>
      <c r="S23" s="323"/>
      <c r="T23" s="323"/>
      <c r="U23" s="323"/>
      <c r="V23" s="323"/>
      <c r="W23" s="323"/>
      <c r="X23" s="323"/>
      <c r="Y23" s="323"/>
      <c r="Z23" s="323"/>
      <c r="AA23" s="323"/>
      <c r="AB23" s="323"/>
      <c r="AC23" s="323"/>
      <c r="AD23" s="323"/>
      <c r="AE23" s="323"/>
    </row>
    <row r="24" spans="1:31" s="344" customFormat="1" ht="15.75" x14ac:dyDescent="0.25">
      <c r="A24" s="321">
        <v>20</v>
      </c>
      <c r="B24" s="341" t="s">
        <v>401</v>
      </c>
      <c r="C24" s="485"/>
      <c r="D24" s="342" t="s">
        <v>244</v>
      </c>
      <c r="E24" s="33">
        <v>8</v>
      </c>
      <c r="F24" s="33"/>
      <c r="G24" s="323"/>
      <c r="H24" s="323"/>
      <c r="I24" s="323"/>
      <c r="J24" s="323"/>
      <c r="K24" s="33">
        <v>8</v>
      </c>
      <c r="L24" s="33">
        <v>6</v>
      </c>
      <c r="M24" s="343"/>
      <c r="N24" s="33">
        <v>1</v>
      </c>
      <c r="O24" s="33"/>
      <c r="P24" s="323"/>
      <c r="Q24" s="323"/>
      <c r="R24" s="482"/>
      <c r="S24" s="323">
        <v>8</v>
      </c>
      <c r="T24" s="323"/>
      <c r="U24" s="323"/>
      <c r="V24" s="323"/>
      <c r="W24" s="323"/>
      <c r="X24" s="323"/>
      <c r="Y24" s="323"/>
      <c r="Z24" s="323">
        <v>4</v>
      </c>
      <c r="AA24" s="323"/>
      <c r="AB24" s="323"/>
      <c r="AC24" s="323"/>
      <c r="AD24" s="323"/>
      <c r="AE24" s="323"/>
    </row>
    <row r="25" spans="1:31" s="344" customFormat="1" ht="15.75" x14ac:dyDescent="0.25">
      <c r="A25" s="321">
        <v>21</v>
      </c>
      <c r="B25" s="341" t="s">
        <v>401</v>
      </c>
      <c r="C25" s="485"/>
      <c r="D25" s="342" t="s">
        <v>233</v>
      </c>
      <c r="E25" s="33">
        <v>3</v>
      </c>
      <c r="F25" s="33"/>
      <c r="G25" s="323"/>
      <c r="H25" s="323"/>
      <c r="I25" s="323"/>
      <c r="J25" s="323"/>
      <c r="K25" s="33">
        <v>3</v>
      </c>
      <c r="L25" s="33">
        <v>4</v>
      </c>
      <c r="M25" s="343"/>
      <c r="N25" s="33"/>
      <c r="O25" s="33"/>
      <c r="P25" s="323"/>
      <c r="Q25" s="323"/>
      <c r="R25" s="482"/>
      <c r="S25" s="323">
        <v>3</v>
      </c>
      <c r="T25" s="323"/>
      <c r="U25" s="323"/>
      <c r="V25" s="323"/>
      <c r="W25" s="323"/>
      <c r="X25" s="323"/>
      <c r="Y25" s="323"/>
      <c r="Z25" s="323">
        <v>2</v>
      </c>
      <c r="AA25" s="323"/>
      <c r="AB25" s="323"/>
      <c r="AC25" s="323"/>
      <c r="AD25" s="323"/>
      <c r="AE25" s="323"/>
    </row>
    <row r="26" spans="1:31" s="344" customFormat="1" ht="15.75" x14ac:dyDescent="0.25">
      <c r="A26" s="321">
        <v>22</v>
      </c>
      <c r="B26" s="341" t="s">
        <v>401</v>
      </c>
      <c r="C26" s="485"/>
      <c r="D26" s="342" t="s">
        <v>245</v>
      </c>
      <c r="E26" s="33">
        <v>2</v>
      </c>
      <c r="F26" s="33"/>
      <c r="G26" s="323"/>
      <c r="H26" s="323"/>
      <c r="I26" s="323"/>
      <c r="J26" s="323"/>
      <c r="K26" s="33">
        <v>2</v>
      </c>
      <c r="L26" s="33">
        <v>4</v>
      </c>
      <c r="M26" s="343"/>
      <c r="N26" s="33"/>
      <c r="O26" s="33"/>
      <c r="P26" s="323"/>
      <c r="Q26" s="323"/>
      <c r="R26" s="482"/>
      <c r="S26" s="323">
        <v>2</v>
      </c>
      <c r="T26" s="323"/>
      <c r="U26" s="323"/>
      <c r="V26" s="323"/>
      <c r="W26" s="323"/>
      <c r="X26" s="323"/>
      <c r="Y26" s="323"/>
      <c r="Z26" s="323">
        <v>2</v>
      </c>
      <c r="AA26" s="323">
        <v>1</v>
      </c>
      <c r="AB26" s="323"/>
      <c r="AC26" s="323"/>
      <c r="AD26" s="323"/>
      <c r="AE26" s="323"/>
    </row>
    <row r="27" spans="1:31" s="344" customFormat="1" ht="15.75" x14ac:dyDescent="0.25">
      <c r="A27" s="321">
        <v>23</v>
      </c>
      <c r="B27" s="341" t="s">
        <v>401</v>
      </c>
      <c r="C27" s="485"/>
      <c r="D27" s="342" t="s">
        <v>246</v>
      </c>
      <c r="E27" s="33">
        <v>3</v>
      </c>
      <c r="F27" s="33"/>
      <c r="G27" s="323"/>
      <c r="H27" s="323"/>
      <c r="I27" s="323"/>
      <c r="J27" s="323"/>
      <c r="K27" s="33">
        <v>3</v>
      </c>
      <c r="L27" s="33">
        <v>4</v>
      </c>
      <c r="M27" s="343"/>
      <c r="N27" s="33"/>
      <c r="O27" s="33"/>
      <c r="P27" s="323"/>
      <c r="Q27" s="323"/>
      <c r="R27" s="482"/>
      <c r="S27" s="323">
        <v>2</v>
      </c>
      <c r="T27" s="323"/>
      <c r="U27" s="323"/>
      <c r="V27" s="323"/>
      <c r="W27" s="323"/>
      <c r="X27" s="323"/>
      <c r="Y27" s="323"/>
      <c r="Z27" s="323">
        <v>2</v>
      </c>
      <c r="AA27" s="323"/>
      <c r="AB27" s="323"/>
      <c r="AC27" s="323"/>
      <c r="AD27" s="323"/>
      <c r="AE27" s="323"/>
    </row>
    <row r="28" spans="1:31" s="344" customFormat="1" ht="15.75" x14ac:dyDescent="0.25">
      <c r="A28" s="321">
        <v>24</v>
      </c>
      <c r="B28" s="341" t="s">
        <v>401</v>
      </c>
      <c r="C28" s="485"/>
      <c r="D28" s="342" t="s">
        <v>251</v>
      </c>
      <c r="E28" s="33">
        <v>2</v>
      </c>
      <c r="F28" s="33"/>
      <c r="G28" s="323"/>
      <c r="H28" s="323"/>
      <c r="I28" s="323"/>
      <c r="J28" s="323"/>
      <c r="K28" s="33">
        <v>2</v>
      </c>
      <c r="L28" s="33">
        <v>4</v>
      </c>
      <c r="M28" s="343"/>
      <c r="N28" s="33"/>
      <c r="O28" s="33"/>
      <c r="P28" s="323"/>
      <c r="Q28" s="323"/>
      <c r="R28" s="482"/>
      <c r="S28" s="323">
        <v>2</v>
      </c>
      <c r="T28" s="323"/>
      <c r="U28" s="323"/>
      <c r="V28" s="323"/>
      <c r="W28" s="323"/>
      <c r="X28" s="323"/>
      <c r="Y28" s="323"/>
      <c r="Z28" s="323">
        <v>2</v>
      </c>
      <c r="AA28" s="323"/>
      <c r="AB28" s="323"/>
      <c r="AC28" s="323"/>
      <c r="AD28" s="323"/>
      <c r="AE28" s="323"/>
    </row>
    <row r="29" spans="1:31" s="344" customFormat="1" ht="15.75" x14ac:dyDescent="0.25">
      <c r="A29" s="321">
        <v>25</v>
      </c>
      <c r="B29" s="341" t="s">
        <v>401</v>
      </c>
      <c r="C29" s="485"/>
      <c r="D29" s="345" t="s">
        <v>252</v>
      </c>
      <c r="E29" s="33">
        <v>3</v>
      </c>
      <c r="F29" s="33"/>
      <c r="G29" s="323"/>
      <c r="H29" s="323"/>
      <c r="I29" s="323"/>
      <c r="J29" s="323"/>
      <c r="K29" s="33">
        <v>3</v>
      </c>
      <c r="L29" s="33">
        <v>4</v>
      </c>
      <c r="M29" s="343"/>
      <c r="N29" s="33"/>
      <c r="O29" s="33"/>
      <c r="P29" s="323"/>
      <c r="Q29" s="323"/>
      <c r="R29" s="482"/>
      <c r="S29" s="323">
        <v>2</v>
      </c>
      <c r="T29" s="323"/>
      <c r="U29" s="323"/>
      <c r="V29" s="323"/>
      <c r="W29" s="323"/>
      <c r="X29" s="323"/>
      <c r="Y29" s="323"/>
      <c r="Z29" s="323">
        <v>2</v>
      </c>
      <c r="AA29" s="323"/>
      <c r="AB29" s="323"/>
      <c r="AC29" s="323"/>
      <c r="AD29" s="323"/>
      <c r="AE29" s="323"/>
    </row>
    <row r="30" spans="1:31" ht="15.75" x14ac:dyDescent="0.25">
      <c r="A30" s="315">
        <v>26</v>
      </c>
      <c r="B30" s="338" t="s">
        <v>401</v>
      </c>
      <c r="C30" s="485"/>
      <c r="D30" s="214" t="s">
        <v>259</v>
      </c>
      <c r="E30" s="33"/>
      <c r="F30" s="33"/>
      <c r="G30" s="323"/>
      <c r="H30" s="323"/>
      <c r="I30" s="323"/>
      <c r="J30" s="323"/>
      <c r="K30" s="33">
        <v>5</v>
      </c>
      <c r="L30" s="33"/>
      <c r="M30" s="343"/>
      <c r="N30" s="33"/>
      <c r="O30" s="33"/>
      <c r="P30" s="318"/>
      <c r="Q30" s="318"/>
      <c r="R30" s="482"/>
      <c r="S30" s="318"/>
      <c r="T30" s="318">
        <v>3</v>
      </c>
      <c r="U30" s="318"/>
      <c r="V30" s="318"/>
      <c r="W30" s="318"/>
      <c r="X30" s="318"/>
      <c r="Y30" s="318"/>
      <c r="Z30" s="318">
        <v>2</v>
      </c>
      <c r="AA30" s="318">
        <v>1</v>
      </c>
      <c r="AB30" s="318"/>
      <c r="AC30" s="318"/>
      <c r="AD30" s="318"/>
      <c r="AE30" s="318"/>
    </row>
    <row r="31" spans="1:31" ht="15.75" x14ac:dyDescent="0.25">
      <c r="A31" s="315">
        <v>27</v>
      </c>
      <c r="B31" s="338" t="s">
        <v>401</v>
      </c>
      <c r="C31" s="485"/>
      <c r="D31" s="215" t="s">
        <v>135</v>
      </c>
      <c r="E31" s="33"/>
      <c r="F31" s="33"/>
      <c r="G31" s="323"/>
      <c r="H31" s="323"/>
      <c r="I31" s="323"/>
      <c r="J31" s="323"/>
      <c r="K31" s="33"/>
      <c r="L31" s="33"/>
      <c r="M31" s="343"/>
      <c r="N31" s="33"/>
      <c r="O31" s="33"/>
      <c r="P31" s="318"/>
      <c r="Q31" s="318"/>
      <c r="R31" s="482"/>
      <c r="S31" s="318"/>
      <c r="T31" s="318">
        <v>3</v>
      </c>
      <c r="U31" s="318"/>
      <c r="V31" s="318"/>
      <c r="W31" s="318"/>
      <c r="X31" s="318"/>
      <c r="Y31" s="318"/>
      <c r="Z31" s="318">
        <v>2</v>
      </c>
      <c r="AA31" s="318">
        <v>1</v>
      </c>
      <c r="AB31" s="318"/>
      <c r="AC31" s="318"/>
      <c r="AD31" s="318"/>
      <c r="AE31" s="318"/>
    </row>
    <row r="32" spans="1:31" ht="15.75" x14ac:dyDescent="0.25">
      <c r="A32" s="315">
        <v>28</v>
      </c>
      <c r="B32" s="338" t="s">
        <v>401</v>
      </c>
      <c r="C32" s="485"/>
      <c r="D32" s="185" t="s">
        <v>147</v>
      </c>
      <c r="E32" s="33"/>
      <c r="F32" s="33"/>
      <c r="G32" s="323"/>
      <c r="H32" s="323"/>
      <c r="I32" s="323"/>
      <c r="J32" s="323"/>
      <c r="K32" s="33"/>
      <c r="L32" s="33"/>
      <c r="M32" s="343"/>
      <c r="N32" s="33"/>
      <c r="O32" s="33"/>
      <c r="P32" s="318"/>
      <c r="Q32" s="318"/>
      <c r="R32" s="482"/>
      <c r="S32" s="318">
        <v>4</v>
      </c>
      <c r="T32" s="318"/>
      <c r="U32" s="318"/>
      <c r="V32" s="318"/>
      <c r="W32" s="318"/>
      <c r="X32" s="318"/>
      <c r="Y32" s="318"/>
      <c r="Z32" s="318">
        <v>2</v>
      </c>
      <c r="AA32" s="318"/>
      <c r="AB32" s="318"/>
      <c r="AC32" s="318"/>
      <c r="AD32" s="318"/>
      <c r="AE32" s="318"/>
    </row>
    <row r="33" spans="1:31" ht="15.75" x14ac:dyDescent="0.25">
      <c r="A33" s="315">
        <v>29</v>
      </c>
      <c r="B33" s="338" t="s">
        <v>401</v>
      </c>
      <c r="C33" s="485"/>
      <c r="D33" s="185" t="s">
        <v>148</v>
      </c>
      <c r="E33" s="33"/>
      <c r="F33" s="33"/>
      <c r="G33" s="323"/>
      <c r="H33" s="323"/>
      <c r="I33" s="323"/>
      <c r="J33" s="323"/>
      <c r="K33" s="33"/>
      <c r="L33" s="33"/>
      <c r="M33" s="343"/>
      <c r="N33" s="33"/>
      <c r="O33" s="33"/>
      <c r="P33" s="318"/>
      <c r="Q33" s="318"/>
      <c r="R33" s="482"/>
      <c r="S33" s="318">
        <v>4</v>
      </c>
      <c r="T33" s="318"/>
      <c r="U33" s="318"/>
      <c r="V33" s="318"/>
      <c r="W33" s="318"/>
      <c r="X33" s="318"/>
      <c r="Y33" s="318"/>
      <c r="Z33" s="318">
        <v>2</v>
      </c>
      <c r="AA33" s="318"/>
      <c r="AB33" s="318"/>
      <c r="AC33" s="318"/>
      <c r="AD33" s="318"/>
      <c r="AE33" s="318"/>
    </row>
    <row r="34" spans="1:31" ht="15.75" x14ac:dyDescent="0.25">
      <c r="A34" s="315">
        <v>30</v>
      </c>
      <c r="B34" s="338" t="s">
        <v>401</v>
      </c>
      <c r="C34" s="486"/>
      <c r="D34" s="185" t="s">
        <v>139</v>
      </c>
      <c r="E34" s="33"/>
      <c r="F34" s="33"/>
      <c r="G34" s="323"/>
      <c r="H34" s="323"/>
      <c r="I34" s="323"/>
      <c r="J34" s="323"/>
      <c r="K34" s="323"/>
      <c r="L34" s="323"/>
      <c r="M34" s="343"/>
      <c r="N34" s="33"/>
      <c r="O34" s="33"/>
      <c r="P34" s="318"/>
      <c r="Q34" s="318"/>
      <c r="R34" s="482"/>
      <c r="S34" s="324">
        <v>2</v>
      </c>
      <c r="T34" s="324"/>
      <c r="U34" s="324"/>
      <c r="V34" s="324"/>
      <c r="W34" s="324"/>
      <c r="X34" s="324"/>
      <c r="Y34" s="324"/>
      <c r="Z34" s="324"/>
      <c r="AA34" s="324">
        <v>1</v>
      </c>
      <c r="AB34" s="324"/>
      <c r="AC34" s="324"/>
      <c r="AD34" s="324"/>
      <c r="AE34" s="324"/>
    </row>
    <row r="35" spans="1:31" x14ac:dyDescent="0.25">
      <c r="A35" s="325" t="s">
        <v>391</v>
      </c>
      <c r="B35" s="326"/>
      <c r="C35" s="326"/>
      <c r="D35" s="327"/>
      <c r="E35" s="328">
        <f t="shared" ref="E35:Q35" si="0">SUM(E5:E34)</f>
        <v>62</v>
      </c>
      <c r="F35" s="329">
        <f t="shared" si="0"/>
        <v>133</v>
      </c>
      <c r="G35" s="328">
        <f t="shared" si="0"/>
        <v>0</v>
      </c>
      <c r="H35" s="328">
        <f t="shared" si="0"/>
        <v>0</v>
      </c>
      <c r="I35" s="328">
        <f t="shared" si="0"/>
        <v>0</v>
      </c>
      <c r="J35" s="328">
        <f t="shared" si="0"/>
        <v>0</v>
      </c>
      <c r="K35" s="328">
        <f t="shared" si="0"/>
        <v>124</v>
      </c>
      <c r="L35" s="328">
        <f>SUM(L5:L34)</f>
        <v>57</v>
      </c>
      <c r="M35" s="339">
        <f>SUM(M5:M34)</f>
        <v>70</v>
      </c>
      <c r="N35" s="328">
        <f t="shared" si="0"/>
        <v>1</v>
      </c>
      <c r="O35" s="324">
        <f t="shared" si="0"/>
        <v>2</v>
      </c>
      <c r="P35" s="328">
        <f t="shared" si="0"/>
        <v>2</v>
      </c>
      <c r="Q35" s="328">
        <f t="shared" si="0"/>
        <v>0</v>
      </c>
      <c r="R35" s="483"/>
      <c r="S35" s="324">
        <f t="shared" ref="S35:AD35" si="1">SUM(S5:S34)</f>
        <v>51</v>
      </c>
      <c r="T35" s="324">
        <f t="shared" si="1"/>
        <v>45</v>
      </c>
      <c r="U35" s="324">
        <f t="shared" si="1"/>
        <v>0</v>
      </c>
      <c r="V35" s="324">
        <f t="shared" si="1"/>
        <v>0</v>
      </c>
      <c r="W35" s="324">
        <f t="shared" si="1"/>
        <v>0</v>
      </c>
      <c r="X35" s="324">
        <f t="shared" si="1"/>
        <v>0</v>
      </c>
      <c r="Y35" s="324">
        <f t="shared" si="1"/>
        <v>0</v>
      </c>
      <c r="Z35" s="324">
        <f t="shared" si="1"/>
        <v>30</v>
      </c>
      <c r="AA35" s="324">
        <f t="shared" si="1"/>
        <v>29</v>
      </c>
      <c r="AB35" s="324">
        <f t="shared" si="1"/>
        <v>0</v>
      </c>
      <c r="AC35" s="324">
        <f t="shared" si="1"/>
        <v>0</v>
      </c>
      <c r="AD35" s="324">
        <f t="shared" si="1"/>
        <v>0</v>
      </c>
      <c r="AE35" s="324"/>
    </row>
    <row r="38" spans="1:31" x14ac:dyDescent="0.25">
      <c r="AE38" t="s">
        <v>392</v>
      </c>
    </row>
    <row r="39" spans="1:31" ht="21" x14ac:dyDescent="0.35">
      <c r="L39" s="330" t="s">
        <v>393</v>
      </c>
      <c r="M39" s="331"/>
      <c r="N39" s="331"/>
      <c r="O39" s="331"/>
      <c r="P39" s="331"/>
      <c r="Q39" s="331"/>
      <c r="R39" s="331"/>
      <c r="S39" s="331"/>
      <c r="T39" s="331"/>
      <c r="U39" s="331"/>
      <c r="V39" s="331"/>
      <c r="W39" s="331"/>
      <c r="X39" s="331"/>
      <c r="Y39" s="331"/>
      <c r="Z39" s="331"/>
      <c r="AA39" s="332"/>
    </row>
    <row r="40" spans="1:31" ht="18.75" x14ac:dyDescent="0.3">
      <c r="L40" s="333" t="s">
        <v>374</v>
      </c>
      <c r="M40" s="346" t="s">
        <v>394</v>
      </c>
      <c r="N40" s="347"/>
      <c r="O40" s="347"/>
      <c r="P40" s="347"/>
      <c r="Q40" s="347"/>
      <c r="R40" s="347"/>
      <c r="S40" s="348"/>
      <c r="T40" s="334" t="s">
        <v>395</v>
      </c>
      <c r="U40" s="335" t="s">
        <v>396</v>
      </c>
      <c r="V40" s="335"/>
      <c r="W40" s="335"/>
      <c r="X40" s="335"/>
      <c r="Y40" s="335"/>
      <c r="Z40" s="335"/>
      <c r="AA40" s="335"/>
    </row>
    <row r="41" spans="1:31" x14ac:dyDescent="0.25">
      <c r="L41" s="336"/>
      <c r="M41" s="337" t="s">
        <v>323</v>
      </c>
      <c r="N41" s="337" t="s">
        <v>397</v>
      </c>
      <c r="O41" s="337" t="s">
        <v>398</v>
      </c>
      <c r="P41" s="337" t="s">
        <v>399</v>
      </c>
      <c r="Q41" s="337" t="s">
        <v>379</v>
      </c>
      <c r="R41" s="337" t="s">
        <v>400</v>
      </c>
      <c r="S41" s="337" t="s">
        <v>44</v>
      </c>
      <c r="T41" s="334"/>
      <c r="U41" s="337" t="s">
        <v>323</v>
      </c>
      <c r="V41" s="337" t="s">
        <v>397</v>
      </c>
      <c r="W41" s="337" t="s">
        <v>398</v>
      </c>
      <c r="X41" s="337" t="s">
        <v>399</v>
      </c>
      <c r="Y41" s="337" t="s">
        <v>379</v>
      </c>
      <c r="Z41" s="337" t="s">
        <v>400</v>
      </c>
      <c r="AA41" s="337" t="s">
        <v>44</v>
      </c>
    </row>
    <row r="42" spans="1:31" ht="45" x14ac:dyDescent="0.25">
      <c r="L42" s="351" t="s">
        <v>403</v>
      </c>
      <c r="M42" s="352">
        <v>51</v>
      </c>
      <c r="N42" s="352">
        <v>45</v>
      </c>
      <c r="O42" s="352">
        <v>30</v>
      </c>
      <c r="P42" s="352">
        <v>14</v>
      </c>
      <c r="Q42" s="352">
        <v>0</v>
      </c>
      <c r="R42" s="352">
        <v>0</v>
      </c>
      <c r="S42" s="352">
        <v>1</v>
      </c>
      <c r="T42" s="353"/>
      <c r="U42" s="352">
        <f>E35</f>
        <v>62</v>
      </c>
      <c r="V42" s="352">
        <f>F35</f>
        <v>133</v>
      </c>
      <c r="W42" s="352">
        <f>L35</f>
        <v>57</v>
      </c>
      <c r="X42" s="354">
        <f>M35</f>
        <v>70</v>
      </c>
      <c r="Y42" s="352">
        <v>0</v>
      </c>
      <c r="Z42" s="352"/>
      <c r="AA42" s="352"/>
    </row>
    <row r="43" spans="1:31" ht="75" x14ac:dyDescent="0.25">
      <c r="L43" s="351" t="s">
        <v>404</v>
      </c>
      <c r="M43" s="349">
        <v>23</v>
      </c>
      <c r="N43" s="350">
        <v>4</v>
      </c>
      <c r="O43" s="349">
        <v>17</v>
      </c>
      <c r="P43" s="349">
        <v>15</v>
      </c>
      <c r="Q43" s="352"/>
      <c r="R43" s="352"/>
      <c r="S43" s="352"/>
      <c r="T43" s="353"/>
      <c r="U43" s="352">
        <v>0</v>
      </c>
      <c r="V43" s="352">
        <v>0</v>
      </c>
      <c r="W43" s="352">
        <v>0</v>
      </c>
      <c r="X43" s="352">
        <v>0</v>
      </c>
      <c r="Y43" s="352">
        <v>0</v>
      </c>
      <c r="Z43" s="352"/>
      <c r="AA43" s="352"/>
    </row>
    <row r="44" spans="1:31" x14ac:dyDescent="0.25">
      <c r="L44" s="355" t="s">
        <v>405</v>
      </c>
      <c r="M44" s="352">
        <v>93</v>
      </c>
      <c r="N44" s="352">
        <v>17</v>
      </c>
      <c r="O44" s="352">
        <v>28</v>
      </c>
      <c r="P44" s="352">
        <v>46</v>
      </c>
      <c r="Q44" s="352">
        <v>0</v>
      </c>
      <c r="R44" s="352">
        <v>0</v>
      </c>
      <c r="S44" s="352">
        <v>0</v>
      </c>
      <c r="T44" s="353"/>
      <c r="U44" s="352">
        <v>0</v>
      </c>
      <c r="V44" s="352">
        <v>0</v>
      </c>
      <c r="W44" s="352">
        <v>0</v>
      </c>
      <c r="X44" s="352">
        <v>0</v>
      </c>
      <c r="Y44" s="352">
        <v>0</v>
      </c>
      <c r="Z44" s="352"/>
      <c r="AA44" s="352"/>
    </row>
    <row r="45" spans="1:31" x14ac:dyDescent="0.25">
      <c r="L45" s="356" t="s">
        <v>347</v>
      </c>
      <c r="M45" s="357">
        <f t="shared" ref="M45:S45" si="2">SUM(M42:M44)</f>
        <v>167</v>
      </c>
      <c r="N45" s="357">
        <f t="shared" si="2"/>
        <v>66</v>
      </c>
      <c r="O45" s="357">
        <f t="shared" si="2"/>
        <v>75</v>
      </c>
      <c r="P45" s="357">
        <f t="shared" si="2"/>
        <v>75</v>
      </c>
      <c r="Q45" s="357">
        <f t="shared" si="2"/>
        <v>0</v>
      </c>
      <c r="R45" s="357">
        <f t="shared" si="2"/>
        <v>0</v>
      </c>
      <c r="S45" s="357">
        <f t="shared" si="2"/>
        <v>1</v>
      </c>
      <c r="T45" s="353"/>
      <c r="U45" s="358">
        <f>SUM(U42:U44)</f>
        <v>62</v>
      </c>
      <c r="V45" s="358">
        <f>SUM(V42:V44)</f>
        <v>133</v>
      </c>
      <c r="W45" s="358">
        <f>SUM(W42:W44)</f>
        <v>57</v>
      </c>
      <c r="X45" s="358">
        <v>64</v>
      </c>
      <c r="Y45" s="358">
        <f>SUM(Y42:Y44)</f>
        <v>0</v>
      </c>
      <c r="Z45" s="358"/>
      <c r="AA45" s="358"/>
    </row>
  </sheetData>
  <mergeCells count="2">
    <mergeCell ref="R3:R35"/>
    <mergeCell ref="C5:C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8D93B-1895-4E7E-99CD-32784E6494B5}">
  <dimension ref="A1:L29"/>
  <sheetViews>
    <sheetView workbookViewId="0">
      <selection activeCell="F8" sqref="F8"/>
    </sheetView>
  </sheetViews>
  <sheetFormatPr defaultRowHeight="15" x14ac:dyDescent="0.25"/>
  <cols>
    <col min="2" max="2" width="29.42578125" bestFit="1" customWidth="1"/>
    <col min="4" max="4" width="22.85546875" bestFit="1" customWidth="1"/>
    <col min="6" max="6" width="30.28515625" customWidth="1"/>
  </cols>
  <sheetData>
    <row r="1" spans="1:12" x14ac:dyDescent="0.25">
      <c r="A1" t="s">
        <v>156</v>
      </c>
      <c r="B1" t="s">
        <v>157</v>
      </c>
    </row>
    <row r="2" spans="1:12" x14ac:dyDescent="0.25">
      <c r="A2">
        <v>1</v>
      </c>
      <c r="B2" s="23" t="s">
        <v>128</v>
      </c>
      <c r="E2">
        <v>1</v>
      </c>
      <c r="F2" s="29" t="s">
        <v>128</v>
      </c>
    </row>
    <row r="3" spans="1:12" x14ac:dyDescent="0.25">
      <c r="A3">
        <v>2</v>
      </c>
      <c r="B3" s="23" t="s">
        <v>129</v>
      </c>
      <c r="D3" t="s">
        <v>165</v>
      </c>
      <c r="E3">
        <v>2</v>
      </c>
      <c r="F3" s="29" t="s">
        <v>130</v>
      </c>
    </row>
    <row r="4" spans="1:12" x14ac:dyDescent="0.25">
      <c r="A4">
        <v>3</v>
      </c>
      <c r="B4" s="23" t="s">
        <v>130</v>
      </c>
      <c r="E4">
        <v>3</v>
      </c>
      <c r="F4" s="29" t="s">
        <v>131</v>
      </c>
    </row>
    <row r="5" spans="1:12" x14ac:dyDescent="0.25">
      <c r="A5">
        <v>4</v>
      </c>
      <c r="B5" s="23" t="s">
        <v>131</v>
      </c>
      <c r="E5">
        <v>4</v>
      </c>
      <c r="F5" s="29" t="s">
        <v>132</v>
      </c>
      <c r="G5" s="27"/>
      <c r="H5" s="27"/>
      <c r="I5" s="27"/>
      <c r="J5" s="27"/>
      <c r="K5" s="27"/>
      <c r="L5" s="27"/>
    </row>
    <row r="6" spans="1:12" x14ac:dyDescent="0.25">
      <c r="A6">
        <v>5</v>
      </c>
      <c r="B6" s="24" t="s">
        <v>132</v>
      </c>
      <c r="E6">
        <v>5</v>
      </c>
      <c r="F6" s="31" t="s">
        <v>135</v>
      </c>
    </row>
    <row r="7" spans="1:12" x14ac:dyDescent="0.25">
      <c r="A7">
        <v>6</v>
      </c>
      <c r="B7" s="23" t="s">
        <v>133</v>
      </c>
      <c r="D7" t="s">
        <v>163</v>
      </c>
      <c r="E7">
        <v>6</v>
      </c>
      <c r="F7" s="29" t="s">
        <v>136</v>
      </c>
    </row>
    <row r="8" spans="1:12" x14ac:dyDescent="0.25">
      <c r="A8">
        <v>7</v>
      </c>
      <c r="B8" s="23" t="s">
        <v>134</v>
      </c>
      <c r="D8" t="s">
        <v>162</v>
      </c>
      <c r="E8">
        <v>7</v>
      </c>
      <c r="F8" s="26" t="s">
        <v>139</v>
      </c>
    </row>
    <row r="9" spans="1:12" x14ac:dyDescent="0.25">
      <c r="A9">
        <v>8</v>
      </c>
      <c r="B9" s="25" t="s">
        <v>135</v>
      </c>
      <c r="E9">
        <v>8</v>
      </c>
      <c r="F9" s="29" t="s">
        <v>140</v>
      </c>
      <c r="G9" s="27"/>
      <c r="H9" s="27"/>
      <c r="I9" s="27"/>
      <c r="J9" s="27"/>
      <c r="K9" s="27"/>
      <c r="L9" s="27"/>
    </row>
    <row r="10" spans="1:12" x14ac:dyDescent="0.25">
      <c r="A10">
        <v>9</v>
      </c>
      <c r="B10" s="26" t="s">
        <v>136</v>
      </c>
      <c r="E10">
        <v>9</v>
      </c>
      <c r="F10" s="29" t="s">
        <v>141</v>
      </c>
      <c r="G10" s="27"/>
      <c r="H10" s="27"/>
      <c r="I10" s="27"/>
      <c r="J10" s="27"/>
      <c r="K10" s="27"/>
      <c r="L10" s="27"/>
    </row>
    <row r="11" spans="1:12" x14ac:dyDescent="0.25">
      <c r="A11">
        <v>10</v>
      </c>
      <c r="B11" s="23" t="s">
        <v>137</v>
      </c>
      <c r="D11" t="s">
        <v>161</v>
      </c>
      <c r="E11">
        <v>10</v>
      </c>
      <c r="F11" s="28" t="s">
        <v>144</v>
      </c>
    </row>
    <row r="12" spans="1:12" x14ac:dyDescent="0.25">
      <c r="A12">
        <v>11</v>
      </c>
      <c r="B12" s="23" t="s">
        <v>138</v>
      </c>
      <c r="D12" t="s">
        <v>166</v>
      </c>
      <c r="E12">
        <v>11</v>
      </c>
      <c r="F12" s="29" t="s">
        <v>145</v>
      </c>
    </row>
    <row r="13" spans="1:12" x14ac:dyDescent="0.25">
      <c r="A13">
        <v>12</v>
      </c>
      <c r="B13" s="23" t="s">
        <v>139</v>
      </c>
      <c r="E13">
        <v>12</v>
      </c>
      <c r="F13" s="29" t="s">
        <v>146</v>
      </c>
    </row>
    <row r="14" spans="1:12" x14ac:dyDescent="0.25">
      <c r="A14">
        <v>13</v>
      </c>
      <c r="B14" s="23" t="s">
        <v>140</v>
      </c>
      <c r="E14">
        <v>13</v>
      </c>
      <c r="F14" s="26" t="s">
        <v>147</v>
      </c>
    </row>
    <row r="15" spans="1:12" x14ac:dyDescent="0.25">
      <c r="A15">
        <v>14</v>
      </c>
      <c r="B15" s="26" t="s">
        <v>141</v>
      </c>
      <c r="E15">
        <v>14</v>
      </c>
      <c r="F15" s="26" t="s">
        <v>148</v>
      </c>
    </row>
    <row r="16" spans="1:12" x14ac:dyDescent="0.25">
      <c r="A16">
        <v>15</v>
      </c>
      <c r="B16" s="23" t="s">
        <v>142</v>
      </c>
      <c r="D16" t="s">
        <v>158</v>
      </c>
      <c r="E16">
        <v>15</v>
      </c>
      <c r="F16" s="28" t="s">
        <v>150</v>
      </c>
    </row>
    <row r="17" spans="1:12" x14ac:dyDescent="0.25">
      <c r="A17">
        <v>16</v>
      </c>
      <c r="B17" s="23" t="s">
        <v>143</v>
      </c>
      <c r="D17" t="s">
        <v>160</v>
      </c>
      <c r="E17">
        <v>16</v>
      </c>
      <c r="F17" s="29" t="s">
        <v>151</v>
      </c>
      <c r="G17" s="27"/>
      <c r="H17" s="27"/>
      <c r="I17" s="27"/>
      <c r="J17" s="27"/>
      <c r="K17" s="27"/>
      <c r="L17" s="27"/>
    </row>
    <row r="18" spans="1:12" x14ac:dyDescent="0.25">
      <c r="A18">
        <v>17</v>
      </c>
      <c r="B18" s="23" t="s">
        <v>144</v>
      </c>
      <c r="E18">
        <v>17</v>
      </c>
      <c r="F18" s="29" t="s">
        <v>152</v>
      </c>
    </row>
    <row r="19" spans="1:12" x14ac:dyDescent="0.25">
      <c r="A19">
        <v>18</v>
      </c>
      <c r="B19" s="23" t="s">
        <v>145</v>
      </c>
      <c r="E19">
        <v>18</v>
      </c>
      <c r="F19" s="29" t="s">
        <v>153</v>
      </c>
      <c r="G19" s="27"/>
      <c r="H19" s="27"/>
      <c r="I19" s="27"/>
      <c r="J19" s="27"/>
      <c r="K19" s="27"/>
      <c r="L19" s="27"/>
    </row>
    <row r="20" spans="1:12" x14ac:dyDescent="0.25">
      <c r="A20">
        <v>19</v>
      </c>
      <c r="B20" s="23" t="s">
        <v>146</v>
      </c>
      <c r="E20">
        <v>19</v>
      </c>
      <c r="F20" s="57" t="s">
        <v>155</v>
      </c>
      <c r="G20" s="27"/>
      <c r="H20" s="27"/>
      <c r="I20" s="27"/>
      <c r="J20" s="27"/>
      <c r="K20" s="27"/>
      <c r="L20" s="27"/>
    </row>
    <row r="21" spans="1:12" x14ac:dyDescent="0.25">
      <c r="A21">
        <v>20</v>
      </c>
      <c r="B21" s="26" t="s">
        <v>147</v>
      </c>
      <c r="E21">
        <v>20</v>
      </c>
      <c r="F21" s="55" t="s">
        <v>167</v>
      </c>
    </row>
    <row r="22" spans="1:12" x14ac:dyDescent="0.25">
      <c r="A22">
        <v>21</v>
      </c>
      <c r="B22" s="26" t="s">
        <v>148</v>
      </c>
      <c r="E22">
        <v>21</v>
      </c>
      <c r="F22" s="55" t="s">
        <v>168</v>
      </c>
    </row>
    <row r="23" spans="1:12" x14ac:dyDescent="0.25">
      <c r="A23">
        <v>22</v>
      </c>
      <c r="B23" s="23" t="s">
        <v>149</v>
      </c>
      <c r="D23" t="s">
        <v>164</v>
      </c>
    </row>
    <row r="24" spans="1:12" x14ac:dyDescent="0.25">
      <c r="A24">
        <v>23</v>
      </c>
      <c r="B24" s="23" t="s">
        <v>150</v>
      </c>
    </row>
    <row r="25" spans="1:12" x14ac:dyDescent="0.25">
      <c r="A25">
        <v>24</v>
      </c>
      <c r="B25" s="26" t="s">
        <v>151</v>
      </c>
    </row>
    <row r="26" spans="1:12" x14ac:dyDescent="0.25">
      <c r="A26">
        <v>25</v>
      </c>
      <c r="B26" s="23" t="s">
        <v>152</v>
      </c>
    </row>
    <row r="27" spans="1:12" x14ac:dyDescent="0.25">
      <c r="A27">
        <v>26</v>
      </c>
      <c r="B27" s="26" t="s">
        <v>153</v>
      </c>
    </row>
    <row r="28" spans="1:12" x14ac:dyDescent="0.25">
      <c r="A28">
        <v>27</v>
      </c>
      <c r="B28" s="23" t="s">
        <v>154</v>
      </c>
      <c r="D28" t="s">
        <v>159</v>
      </c>
    </row>
    <row r="29" spans="1:12" x14ac:dyDescent="0.25">
      <c r="A29">
        <v>28</v>
      </c>
      <c r="B29" s="26" t="s">
        <v>155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C505-C033-4B40-9633-81271A418397}">
  <sheetPr>
    <tabColor theme="0"/>
    <pageSetUpPr fitToPage="1"/>
  </sheetPr>
  <dimension ref="A1:G53"/>
  <sheetViews>
    <sheetView zoomScaleNormal="100" zoomScaleSheetLayoutView="98" workbookViewId="0">
      <pane ySplit="4" topLeftCell="A11" activePane="bottomLeft" state="frozen"/>
      <selection pane="bottomLeft" activeCell="H12" sqref="H12"/>
    </sheetView>
  </sheetViews>
  <sheetFormatPr defaultColWidth="8.7109375" defaultRowHeight="15" x14ac:dyDescent="0.25"/>
  <cols>
    <col min="1" max="1" width="11.28515625" style="127" customWidth="1"/>
    <col min="2" max="2" width="43.5703125" style="128" customWidth="1"/>
    <col min="3" max="3" width="6.5703125" style="129" customWidth="1"/>
    <col min="4" max="4" width="10.28515625" style="129" customWidth="1"/>
    <col min="5" max="5" width="11.42578125" style="129" customWidth="1"/>
    <col min="6" max="6" width="16.140625" style="19" customWidth="1"/>
    <col min="7" max="7" width="9.140625" style="19" bestFit="1" customWidth="1"/>
    <col min="8" max="16384" width="8.7109375" style="19"/>
  </cols>
  <sheetData>
    <row r="1" spans="1:7" ht="39.950000000000003" customHeight="1" thickBot="1" x14ac:dyDescent="0.3">
      <c r="A1" s="94" t="s">
        <v>0</v>
      </c>
      <c r="B1" s="496" t="s">
        <v>57</v>
      </c>
      <c r="C1" s="497"/>
      <c r="D1" s="497"/>
      <c r="E1" s="497"/>
      <c r="F1" s="498"/>
    </row>
    <row r="2" spans="1:7" ht="15.75" thickBot="1" x14ac:dyDescent="0.3">
      <c r="A2" s="94" t="s">
        <v>58</v>
      </c>
      <c r="B2" s="496" t="s">
        <v>62</v>
      </c>
      <c r="C2" s="497"/>
      <c r="D2" s="497"/>
      <c r="E2" s="497"/>
      <c r="F2" s="498"/>
    </row>
    <row r="3" spans="1:7" ht="15.75" thickBot="1" x14ac:dyDescent="0.3">
      <c r="A3" s="95" t="s">
        <v>1</v>
      </c>
      <c r="B3" s="496" t="s">
        <v>263</v>
      </c>
      <c r="C3" s="497"/>
      <c r="D3" s="497"/>
      <c r="E3" s="497"/>
      <c r="F3" s="498"/>
    </row>
    <row r="4" spans="1:7" ht="15.75" thickTop="1" x14ac:dyDescent="0.25">
      <c r="A4" s="96" t="s">
        <v>9</v>
      </c>
      <c r="B4" s="97" t="s">
        <v>10</v>
      </c>
      <c r="C4" s="98" t="s">
        <v>3</v>
      </c>
      <c r="D4" s="98" t="s">
        <v>11</v>
      </c>
      <c r="E4" s="98" t="s">
        <v>12</v>
      </c>
      <c r="F4" s="130" t="s">
        <v>4</v>
      </c>
    </row>
    <row r="5" spans="1:7" ht="28.5" x14ac:dyDescent="0.25">
      <c r="A5" s="101" t="s">
        <v>22</v>
      </c>
      <c r="B5" s="131" t="s">
        <v>83</v>
      </c>
      <c r="C5" s="102"/>
      <c r="D5" s="102"/>
      <c r="E5" s="102"/>
      <c r="F5" s="64"/>
    </row>
    <row r="6" spans="1:7" ht="75" x14ac:dyDescent="0.25">
      <c r="A6" s="21">
        <v>1</v>
      </c>
      <c r="B6" s="39" t="s">
        <v>488</v>
      </c>
      <c r="C6" s="21" t="s">
        <v>16</v>
      </c>
      <c r="D6" s="21">
        <v>1</v>
      </c>
      <c r="E6" s="21"/>
      <c r="F6" s="64">
        <f t="shared" ref="F6:F12" si="0">D6*E6</f>
        <v>0</v>
      </c>
    </row>
    <row r="7" spans="1:7" ht="75" x14ac:dyDescent="0.25">
      <c r="A7" s="21">
        <v>2</v>
      </c>
      <c r="B7" s="39" t="s">
        <v>30</v>
      </c>
      <c r="C7" s="21" t="s">
        <v>13</v>
      </c>
      <c r="D7" s="21">
        <f>8*8.5*5*1.2</f>
        <v>408</v>
      </c>
      <c r="E7" s="21"/>
      <c r="F7" s="64">
        <f t="shared" si="0"/>
        <v>0</v>
      </c>
    </row>
    <row r="8" spans="1:7" ht="45" x14ac:dyDescent="0.25">
      <c r="A8" s="21">
        <v>3</v>
      </c>
      <c r="B8" s="39" t="s">
        <v>20</v>
      </c>
      <c r="C8" s="21" t="s">
        <v>13</v>
      </c>
      <c r="D8" s="21">
        <f>8*8.5*5</f>
        <v>340</v>
      </c>
      <c r="E8" s="21"/>
      <c r="F8" s="64">
        <f t="shared" si="0"/>
        <v>0</v>
      </c>
    </row>
    <row r="9" spans="1:7" ht="45" x14ac:dyDescent="0.25">
      <c r="A9" s="21">
        <v>4</v>
      </c>
      <c r="B9" s="39" t="s">
        <v>14</v>
      </c>
      <c r="C9" s="21" t="s">
        <v>17</v>
      </c>
      <c r="D9" s="21">
        <v>110</v>
      </c>
      <c r="E9" s="21"/>
      <c r="F9" s="64">
        <f t="shared" si="0"/>
        <v>0</v>
      </c>
    </row>
    <row r="10" spans="1:7" ht="150" x14ac:dyDescent="0.25">
      <c r="A10" s="21">
        <v>5</v>
      </c>
      <c r="B10" s="39" t="s">
        <v>76</v>
      </c>
      <c r="C10" s="21" t="s">
        <v>15</v>
      </c>
      <c r="D10" s="21">
        <f>(41.2*2+8*8*5*0.05)*0.08</f>
        <v>7.8720000000000008</v>
      </c>
      <c r="E10" s="21"/>
      <c r="F10" s="64">
        <f t="shared" si="0"/>
        <v>0</v>
      </c>
    </row>
    <row r="11" spans="1:7" ht="60" x14ac:dyDescent="0.25">
      <c r="A11" s="21">
        <v>6</v>
      </c>
      <c r="B11" s="70" t="s">
        <v>18</v>
      </c>
      <c r="C11" s="67" t="s">
        <v>13</v>
      </c>
      <c r="D11" s="67">
        <f>((41.2*2+6*6+52*0.55)*2)*3.3</f>
        <v>970.19999999999993</v>
      </c>
      <c r="E11" s="67"/>
      <c r="F11" s="64">
        <f t="shared" si="0"/>
        <v>0</v>
      </c>
    </row>
    <row r="12" spans="1:7" ht="135" x14ac:dyDescent="0.25">
      <c r="A12" s="21">
        <v>7</v>
      </c>
      <c r="B12" s="65" t="s">
        <v>65</v>
      </c>
      <c r="C12" s="21" t="s">
        <v>19</v>
      </c>
      <c r="D12" s="21">
        <v>18</v>
      </c>
      <c r="E12" s="21"/>
      <c r="F12" s="64">
        <f t="shared" si="0"/>
        <v>0</v>
      </c>
    </row>
    <row r="13" spans="1:7" ht="90" x14ac:dyDescent="0.25">
      <c r="A13" s="21">
        <v>8</v>
      </c>
      <c r="B13" s="65" t="s">
        <v>64</v>
      </c>
      <c r="C13" s="21" t="s">
        <v>2</v>
      </c>
      <c r="D13" s="21">
        <v>5</v>
      </c>
      <c r="E13" s="21"/>
      <c r="F13" s="64">
        <f>D13*E13</f>
        <v>0</v>
      </c>
    </row>
    <row r="14" spans="1:7" ht="45" x14ac:dyDescent="0.25">
      <c r="A14" s="21">
        <v>9</v>
      </c>
      <c r="B14" s="65" t="s">
        <v>23</v>
      </c>
      <c r="C14" s="21" t="s">
        <v>16</v>
      </c>
      <c r="D14" s="21">
        <v>1</v>
      </c>
      <c r="E14" s="21"/>
      <c r="F14" s="64">
        <f t="shared" ref="F14:F23" si="1">D14*E14</f>
        <v>0</v>
      </c>
    </row>
    <row r="15" spans="1:7" ht="30" x14ac:dyDescent="0.25">
      <c r="A15" s="21"/>
      <c r="B15" s="65" t="s">
        <v>473</v>
      </c>
      <c r="C15" s="21" t="s">
        <v>16</v>
      </c>
      <c r="D15" s="21">
        <v>1</v>
      </c>
      <c r="E15" s="21"/>
      <c r="F15" s="64">
        <f t="shared" si="1"/>
        <v>0</v>
      </c>
    </row>
    <row r="16" spans="1:7" s="116" customFormat="1" ht="14.25" x14ac:dyDescent="0.2">
      <c r="A16" s="77"/>
      <c r="B16" s="499" t="s">
        <v>69</v>
      </c>
      <c r="C16" s="500"/>
      <c r="D16" s="500"/>
      <c r="E16" s="501"/>
      <c r="F16" s="82">
        <f>SUM(F6:F15)</f>
        <v>0</v>
      </c>
      <c r="G16" s="115"/>
    </row>
    <row r="17" spans="1:6" x14ac:dyDescent="0.25">
      <c r="A17" s="21"/>
      <c r="B17" s="65"/>
      <c r="C17" s="21"/>
      <c r="D17" s="21"/>
      <c r="E17" s="21"/>
      <c r="F17" s="64"/>
    </row>
    <row r="18" spans="1:6" x14ac:dyDescent="0.25">
      <c r="A18" s="77"/>
      <c r="B18" s="112"/>
      <c r="C18" s="113"/>
      <c r="D18" s="113"/>
      <c r="E18" s="114"/>
      <c r="F18" s="82"/>
    </row>
    <row r="19" spans="1:6" s="116" customFormat="1" ht="28.5" x14ac:dyDescent="0.2">
      <c r="A19" s="77" t="s">
        <v>24</v>
      </c>
      <c r="B19" s="62" t="s">
        <v>72</v>
      </c>
      <c r="C19" s="34"/>
      <c r="D19" s="34"/>
      <c r="E19" s="34"/>
      <c r="F19" s="82">
        <f t="shared" si="1"/>
        <v>0</v>
      </c>
    </row>
    <row r="20" spans="1:6" ht="45" x14ac:dyDescent="0.25">
      <c r="A20" s="13">
        <v>1</v>
      </c>
      <c r="B20" s="39" t="s">
        <v>70</v>
      </c>
      <c r="C20" s="66" t="s">
        <v>13</v>
      </c>
      <c r="D20" s="66">
        <f>(4*2.5*2+4*2*2)*2.2</f>
        <v>79.2</v>
      </c>
      <c r="E20" s="66"/>
      <c r="F20" s="64">
        <f t="shared" si="1"/>
        <v>0</v>
      </c>
    </row>
    <row r="21" spans="1:6" ht="60" x14ac:dyDescent="0.25">
      <c r="A21" s="13">
        <v>2</v>
      </c>
      <c r="B21" s="39" t="s">
        <v>71</v>
      </c>
      <c r="C21" s="21" t="s">
        <v>13</v>
      </c>
      <c r="D21" s="21">
        <f>4*(4*2+2*2)*2.2</f>
        <v>105.60000000000001</v>
      </c>
      <c r="E21" s="21"/>
      <c r="F21" s="64">
        <f t="shared" si="1"/>
        <v>0</v>
      </c>
    </row>
    <row r="22" spans="1:6" ht="30" x14ac:dyDescent="0.25">
      <c r="A22" s="13">
        <v>3</v>
      </c>
      <c r="B22" s="39" t="s">
        <v>25</v>
      </c>
      <c r="C22" s="21" t="s">
        <v>2</v>
      </c>
      <c r="D22" s="32">
        <v>16</v>
      </c>
      <c r="E22" s="21"/>
      <c r="F22" s="64">
        <f t="shared" si="1"/>
        <v>0</v>
      </c>
    </row>
    <row r="23" spans="1:6" ht="30" x14ac:dyDescent="0.25">
      <c r="A23" s="13">
        <v>4</v>
      </c>
      <c r="B23" s="39" t="s">
        <v>28</v>
      </c>
      <c r="C23" s="21" t="s">
        <v>16</v>
      </c>
      <c r="D23" s="32">
        <v>1</v>
      </c>
      <c r="E23" s="21"/>
      <c r="F23" s="64">
        <f t="shared" si="1"/>
        <v>0</v>
      </c>
    </row>
    <row r="24" spans="1:6" ht="30" x14ac:dyDescent="0.25">
      <c r="A24" s="13">
        <v>5</v>
      </c>
      <c r="B24" s="39" t="s">
        <v>26</v>
      </c>
      <c r="C24" s="21" t="s">
        <v>2</v>
      </c>
      <c r="D24" s="21">
        <v>4</v>
      </c>
      <c r="E24" s="21"/>
      <c r="F24" s="64">
        <f>D24*E24</f>
        <v>0</v>
      </c>
    </row>
    <row r="25" spans="1:6" ht="30" x14ac:dyDescent="0.25">
      <c r="A25" s="13">
        <v>6</v>
      </c>
      <c r="B25" s="39" t="s">
        <v>31</v>
      </c>
      <c r="C25" s="21" t="s">
        <v>2</v>
      </c>
      <c r="D25" s="21">
        <v>2</v>
      </c>
      <c r="E25" s="21"/>
      <c r="F25" s="64">
        <f>D25*E25</f>
        <v>0</v>
      </c>
    </row>
    <row r="26" spans="1:6" ht="150" x14ac:dyDescent="0.25">
      <c r="A26" s="13">
        <v>7</v>
      </c>
      <c r="B26" s="119" t="s">
        <v>74</v>
      </c>
      <c r="C26" s="120" t="s">
        <v>73</v>
      </c>
      <c r="D26" s="120">
        <v>1</v>
      </c>
      <c r="E26" s="121"/>
      <c r="F26" s="64">
        <f>D26*E26</f>
        <v>0</v>
      </c>
    </row>
    <row r="27" spans="1:6" ht="45" x14ac:dyDescent="0.25">
      <c r="A27" s="13">
        <v>8</v>
      </c>
      <c r="B27" s="119" t="s">
        <v>75</v>
      </c>
      <c r="C27" s="120" t="s">
        <v>73</v>
      </c>
      <c r="D27" s="120">
        <v>1</v>
      </c>
      <c r="E27" s="121"/>
      <c r="F27" s="64">
        <f>D27*E27</f>
        <v>0</v>
      </c>
    </row>
    <row r="28" spans="1:6" s="116" customFormat="1" ht="14.25" x14ac:dyDescent="0.2">
      <c r="A28" s="77"/>
      <c r="B28" s="502" t="s">
        <v>34</v>
      </c>
      <c r="C28" s="503"/>
      <c r="D28" s="503"/>
      <c r="E28" s="504"/>
      <c r="F28" s="82">
        <f>SUM(F20:F27)</f>
        <v>0</v>
      </c>
    </row>
    <row r="29" spans="1:6" s="116" customFormat="1" ht="14.25" x14ac:dyDescent="0.2">
      <c r="A29" s="77"/>
      <c r="B29" s="78"/>
      <c r="C29" s="79"/>
      <c r="D29" s="79"/>
      <c r="E29" s="80"/>
      <c r="F29" s="82"/>
    </row>
    <row r="30" spans="1:6" s="116" customFormat="1" ht="28.5" x14ac:dyDescent="0.2">
      <c r="A30" s="77" t="s">
        <v>27</v>
      </c>
      <c r="B30" s="62" t="s">
        <v>77</v>
      </c>
      <c r="C30" s="34"/>
      <c r="D30" s="34"/>
      <c r="E30" s="34"/>
      <c r="F30" s="82">
        <f t="shared" ref="F30" si="2">D30*E30</f>
        <v>0</v>
      </c>
    </row>
    <row r="31" spans="1:6" s="116" customFormat="1" ht="105" x14ac:dyDescent="0.2">
      <c r="A31" s="13">
        <v>1</v>
      </c>
      <c r="B31" s="122" t="s">
        <v>78</v>
      </c>
      <c r="C31" s="123" t="s">
        <v>73</v>
      </c>
      <c r="D31" s="123">
        <v>1</v>
      </c>
      <c r="E31" s="124"/>
      <c r="F31" s="64">
        <f>E31*D31</f>
        <v>0</v>
      </c>
    </row>
    <row r="32" spans="1:6" s="116" customFormat="1" ht="60" x14ac:dyDescent="0.2">
      <c r="A32" s="13">
        <v>2</v>
      </c>
      <c r="B32" s="70" t="s">
        <v>79</v>
      </c>
      <c r="C32" s="123" t="s">
        <v>73</v>
      </c>
      <c r="D32" s="123">
        <v>1</v>
      </c>
      <c r="E32" s="124"/>
      <c r="F32" s="64">
        <f t="shared" ref="F32:F33" si="3">E32*D32</f>
        <v>0</v>
      </c>
    </row>
    <row r="33" spans="1:6" s="116" customFormat="1" ht="45" x14ac:dyDescent="0.2">
      <c r="A33" s="13">
        <v>3</v>
      </c>
      <c r="B33" s="125" t="s">
        <v>80</v>
      </c>
      <c r="C33" s="123" t="s">
        <v>73</v>
      </c>
      <c r="D33" s="123">
        <v>1</v>
      </c>
      <c r="E33" s="124"/>
      <c r="F33" s="64">
        <f t="shared" si="3"/>
        <v>0</v>
      </c>
    </row>
    <row r="34" spans="1:6" s="116" customFormat="1" ht="14.25" x14ac:dyDescent="0.2">
      <c r="A34" s="77"/>
      <c r="B34" s="502" t="s">
        <v>81</v>
      </c>
      <c r="C34" s="503"/>
      <c r="D34" s="503"/>
      <c r="E34" s="504"/>
      <c r="F34" s="82">
        <f>SUM(F31:F33)</f>
        <v>0</v>
      </c>
    </row>
    <row r="35" spans="1:6" x14ac:dyDescent="0.25">
      <c r="A35" s="13"/>
      <c r="B35" s="39"/>
      <c r="C35" s="66"/>
      <c r="D35" s="66"/>
      <c r="E35" s="66"/>
      <c r="F35" s="64"/>
    </row>
    <row r="36" spans="1:6" x14ac:dyDescent="0.25">
      <c r="A36" s="77" t="s">
        <v>51</v>
      </c>
      <c r="B36" s="56" t="s">
        <v>54</v>
      </c>
      <c r="C36" s="48"/>
      <c r="D36" s="48"/>
      <c r="E36" s="40"/>
      <c r="F36" s="83"/>
    </row>
    <row r="37" spans="1:6" ht="75" x14ac:dyDescent="0.25">
      <c r="A37" s="13">
        <v>1</v>
      </c>
      <c r="B37" s="45" t="s">
        <v>55</v>
      </c>
      <c r="C37" s="13" t="s">
        <v>52</v>
      </c>
      <c r="D37" s="14">
        <v>1</v>
      </c>
      <c r="E37" s="40"/>
      <c r="F37" s="36">
        <f t="shared" ref="F37" si="4">D37*E37</f>
        <v>0</v>
      </c>
    </row>
    <row r="38" spans="1:6" x14ac:dyDescent="0.25">
      <c r="A38" s="77"/>
      <c r="B38" s="505" t="s">
        <v>56</v>
      </c>
      <c r="C38" s="505"/>
      <c r="D38" s="505"/>
      <c r="E38" s="505"/>
      <c r="F38" s="83">
        <f>SUM(F37)</f>
        <v>0</v>
      </c>
    </row>
    <row r="39" spans="1:6" x14ac:dyDescent="0.25">
      <c r="A39" s="77"/>
      <c r="B39" s="363"/>
      <c r="C39" s="363"/>
      <c r="D39" s="363"/>
      <c r="E39" s="363"/>
      <c r="F39" s="83"/>
    </row>
    <row r="40" spans="1:6" ht="18.75" x14ac:dyDescent="0.25">
      <c r="A40" s="506" t="s">
        <v>407</v>
      </c>
      <c r="B40" s="507"/>
      <c r="C40" s="507"/>
      <c r="D40" s="507"/>
      <c r="E40" s="507"/>
      <c r="F40" s="508"/>
    </row>
    <row r="41" spans="1:6" ht="28.5" x14ac:dyDescent="0.25">
      <c r="A41" s="101" t="s">
        <v>22</v>
      </c>
      <c r="B41" s="131" t="s">
        <v>83</v>
      </c>
      <c r="C41" s="66"/>
      <c r="D41" s="66"/>
      <c r="E41" s="66"/>
      <c r="F41" s="82">
        <f>F16</f>
        <v>0</v>
      </c>
    </row>
    <row r="42" spans="1:6" ht="28.5" x14ac:dyDescent="0.25">
      <c r="A42" s="77" t="s">
        <v>24</v>
      </c>
      <c r="B42" s="62" t="s">
        <v>72</v>
      </c>
      <c r="C42" s="66"/>
      <c r="D42" s="66"/>
      <c r="E42" s="66"/>
      <c r="F42" s="82">
        <f>F28</f>
        <v>0</v>
      </c>
    </row>
    <row r="43" spans="1:6" ht="28.5" x14ac:dyDescent="0.25">
      <c r="A43" s="77" t="s">
        <v>27</v>
      </c>
      <c r="B43" s="62" t="s">
        <v>77</v>
      </c>
      <c r="C43" s="66"/>
      <c r="D43" s="66"/>
      <c r="E43" s="66"/>
      <c r="F43" s="82">
        <f>F34</f>
        <v>0</v>
      </c>
    </row>
    <row r="44" spans="1:6" x14ac:dyDescent="0.25">
      <c r="A44" s="77" t="s">
        <v>50</v>
      </c>
      <c r="B44" s="364" t="s">
        <v>54</v>
      </c>
      <c r="C44" s="66"/>
      <c r="D44" s="66"/>
      <c r="E44" s="66"/>
      <c r="F44" s="82">
        <f>F38</f>
        <v>0</v>
      </c>
    </row>
    <row r="45" spans="1:6" x14ac:dyDescent="0.25">
      <c r="A45" s="13"/>
      <c r="B45" s="39"/>
      <c r="C45" s="66"/>
      <c r="D45" s="66"/>
      <c r="E45" s="66"/>
      <c r="F45" s="64"/>
    </row>
    <row r="46" spans="1:6" ht="15.75" thickBot="1" x14ac:dyDescent="0.3">
      <c r="A46" s="132"/>
      <c r="B46" s="509" t="s">
        <v>49</v>
      </c>
      <c r="C46" s="510"/>
      <c r="D46" s="510"/>
      <c r="E46" s="511"/>
      <c r="F46" s="133">
        <f>F44+F43+F42+F41</f>
        <v>0</v>
      </c>
    </row>
    <row r="47" spans="1:6" x14ac:dyDescent="0.25">
      <c r="A47" s="87"/>
      <c r="B47" s="88"/>
      <c r="C47" s="89"/>
      <c r="D47" s="89"/>
      <c r="E47" s="89"/>
      <c r="F47" s="126"/>
    </row>
    <row r="48" spans="1:6" ht="15.75" thickBot="1" x14ac:dyDescent="0.3">
      <c r="A48" s="87"/>
      <c r="B48" s="88"/>
      <c r="C48" s="89"/>
      <c r="D48" s="89"/>
      <c r="E48" s="89"/>
      <c r="F48" s="126"/>
    </row>
    <row r="49" spans="1:6" x14ac:dyDescent="0.25">
      <c r="A49" s="92"/>
      <c r="B49" s="93" t="s">
        <v>5</v>
      </c>
      <c r="C49" s="487"/>
      <c r="D49" s="488"/>
      <c r="E49" s="488"/>
      <c r="F49" s="489"/>
    </row>
    <row r="50" spans="1:6" x14ac:dyDescent="0.25">
      <c r="A50" s="92"/>
      <c r="B50" s="93" t="s">
        <v>6</v>
      </c>
      <c r="C50" s="490"/>
      <c r="D50" s="491"/>
      <c r="E50" s="491"/>
      <c r="F50" s="492"/>
    </row>
    <row r="51" spans="1:6" x14ac:dyDescent="0.25">
      <c r="A51" s="92"/>
      <c r="B51" s="93" t="s">
        <v>7</v>
      </c>
      <c r="C51" s="490"/>
      <c r="D51" s="491"/>
      <c r="E51" s="491"/>
      <c r="F51" s="492"/>
    </row>
    <row r="52" spans="1:6" ht="15.75" thickBot="1" x14ac:dyDescent="0.3">
      <c r="A52" s="92"/>
      <c r="B52" s="93" t="s">
        <v>8</v>
      </c>
      <c r="C52" s="493"/>
      <c r="D52" s="494"/>
      <c r="E52" s="494"/>
      <c r="F52" s="495"/>
    </row>
    <row r="53" spans="1:6" x14ac:dyDescent="0.25">
      <c r="A53" s="87"/>
      <c r="B53" s="88"/>
      <c r="C53" s="89"/>
      <c r="D53" s="89"/>
      <c r="E53" s="89"/>
      <c r="F53" s="126"/>
    </row>
  </sheetData>
  <sheetProtection selectLockedCells="1"/>
  <mergeCells count="12">
    <mergeCell ref="C49:F49"/>
    <mergeCell ref="C50:F50"/>
    <mergeCell ref="C51:F52"/>
    <mergeCell ref="B1:F1"/>
    <mergeCell ref="B2:F2"/>
    <mergeCell ref="B3:F3"/>
    <mergeCell ref="B16:E16"/>
    <mergeCell ref="B28:E28"/>
    <mergeCell ref="B34:E34"/>
    <mergeCell ref="B38:E38"/>
    <mergeCell ref="A40:F40"/>
    <mergeCell ref="B46:E46"/>
  </mergeCells>
  <phoneticPr fontId="6" type="noConversion"/>
  <pageMargins left="0.7" right="0.7" top="0.75" bottom="1" header="0.3" footer="0.3"/>
  <pageSetup scale="91" fitToHeight="0" orientation="portrait" r:id="rId1"/>
  <headerFooter>
    <oddFoote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578AF-01F7-4B3E-935E-4720E052CB53}">
  <sheetPr>
    <tabColor theme="0"/>
    <pageSetUpPr fitToPage="1"/>
  </sheetPr>
  <dimension ref="A1:F66"/>
  <sheetViews>
    <sheetView tabSelected="1" view="pageBreakPreview" zoomScaleNormal="100" zoomScaleSheetLayoutView="100" workbookViewId="0">
      <pane ySplit="4" topLeftCell="A50" activePane="bottomLeft" state="frozen"/>
      <selection pane="bottomLeft" activeCell="C56" sqref="C56"/>
    </sheetView>
  </sheetViews>
  <sheetFormatPr defaultColWidth="8.7109375" defaultRowHeight="15" x14ac:dyDescent="0.25"/>
  <cols>
    <col min="1" max="1" width="11.28515625" style="12" customWidth="1"/>
    <col min="2" max="2" width="41.5703125" style="7" customWidth="1"/>
    <col min="3" max="3" width="6.5703125" style="9" customWidth="1"/>
    <col min="4" max="4" width="10.28515625" style="9" customWidth="1"/>
    <col min="5" max="5" width="11.42578125" style="16" customWidth="1"/>
    <col min="6" max="6" width="16.140625" style="18" customWidth="1"/>
    <col min="7" max="7" width="9.140625" bestFit="1" customWidth="1"/>
  </cols>
  <sheetData>
    <row r="1" spans="1:6" ht="27.6" customHeight="1" thickBot="1" x14ac:dyDescent="0.35">
      <c r="A1" s="106" t="s">
        <v>0</v>
      </c>
      <c r="B1" s="512" t="s">
        <v>57</v>
      </c>
      <c r="C1" s="513"/>
      <c r="D1" s="513"/>
      <c r="E1" s="513"/>
      <c r="F1" s="514"/>
    </row>
    <row r="2" spans="1:6" ht="19.5" thickBot="1" x14ac:dyDescent="0.35">
      <c r="A2" s="106" t="s">
        <v>59</v>
      </c>
      <c r="B2" s="512" t="s">
        <v>490</v>
      </c>
      <c r="C2" s="513"/>
      <c r="D2" s="513"/>
      <c r="E2" s="513"/>
      <c r="F2" s="514"/>
    </row>
    <row r="3" spans="1:6" ht="19.5" thickBot="1" x14ac:dyDescent="0.35">
      <c r="A3" s="107" t="s">
        <v>1</v>
      </c>
      <c r="B3" s="512" t="s">
        <v>263</v>
      </c>
      <c r="C3" s="513"/>
      <c r="D3" s="513"/>
      <c r="E3" s="513"/>
      <c r="F3" s="514"/>
    </row>
    <row r="4" spans="1:6" ht="15.75" thickTop="1" x14ac:dyDescent="0.25">
      <c r="A4" s="96" t="s">
        <v>9</v>
      </c>
      <c r="B4" s="97" t="s">
        <v>10</v>
      </c>
      <c r="C4" s="98" t="s">
        <v>3</v>
      </c>
      <c r="D4" s="98" t="s">
        <v>11</v>
      </c>
      <c r="E4" s="99" t="s">
        <v>12</v>
      </c>
      <c r="F4" s="100" t="s">
        <v>4</v>
      </c>
    </row>
    <row r="5" spans="1:6" x14ac:dyDescent="0.25">
      <c r="A5" s="101" t="s">
        <v>22</v>
      </c>
      <c r="B5" s="131" t="s">
        <v>237</v>
      </c>
      <c r="C5" s="102"/>
      <c r="D5" s="102"/>
      <c r="E5" s="102"/>
      <c r="F5" s="64"/>
    </row>
    <row r="6" spans="1:6" s="10" customFormat="1" ht="45" x14ac:dyDescent="0.25">
      <c r="A6" s="21">
        <v>1</v>
      </c>
      <c r="B6" s="39" t="s">
        <v>238</v>
      </c>
      <c r="C6" s="21" t="s">
        <v>16</v>
      </c>
      <c r="D6" s="21">
        <v>1</v>
      </c>
      <c r="E6" s="21"/>
      <c r="F6" s="64">
        <f t="shared" ref="F6:F12" si="0">D6*E6</f>
        <v>0</v>
      </c>
    </row>
    <row r="7" spans="1:6" ht="75" x14ac:dyDescent="0.25">
      <c r="A7" s="13">
        <v>2</v>
      </c>
      <c r="B7" s="39" t="s">
        <v>30</v>
      </c>
      <c r="C7" s="21" t="s">
        <v>13</v>
      </c>
      <c r="D7" s="21">
        <f>8*8.5*9*1.2</f>
        <v>734.4</v>
      </c>
      <c r="E7" s="21"/>
      <c r="F7" s="64">
        <f t="shared" si="0"/>
        <v>0</v>
      </c>
    </row>
    <row r="8" spans="1:6" ht="45" x14ac:dyDescent="0.25">
      <c r="A8" s="21">
        <v>3</v>
      </c>
      <c r="B8" s="39" t="s">
        <v>20</v>
      </c>
      <c r="C8" s="21" t="s">
        <v>13</v>
      </c>
      <c r="D8" s="21">
        <f>8*8.5*9</f>
        <v>612</v>
      </c>
      <c r="E8" s="21"/>
      <c r="F8" s="64">
        <f t="shared" si="0"/>
        <v>0</v>
      </c>
    </row>
    <row r="9" spans="1:6" ht="45" x14ac:dyDescent="0.25">
      <c r="A9" s="13">
        <v>4</v>
      </c>
      <c r="B9" s="39" t="s">
        <v>14</v>
      </c>
      <c r="C9" s="21" t="s">
        <v>17</v>
      </c>
      <c r="D9" s="21">
        <v>200</v>
      </c>
      <c r="E9" s="21"/>
      <c r="F9" s="64">
        <f t="shared" si="0"/>
        <v>0</v>
      </c>
    </row>
    <row r="10" spans="1:6" ht="45" x14ac:dyDescent="0.25">
      <c r="A10" s="21">
        <v>5</v>
      </c>
      <c r="B10" s="39" t="s">
        <v>84</v>
      </c>
      <c r="C10" s="21" t="s">
        <v>13</v>
      </c>
      <c r="D10" s="21">
        <f>D8*0.15</f>
        <v>91.8</v>
      </c>
      <c r="E10" s="21"/>
      <c r="F10" s="64">
        <f t="shared" si="0"/>
        <v>0</v>
      </c>
    </row>
    <row r="11" spans="1:6" ht="60" x14ac:dyDescent="0.25">
      <c r="A11" s="13">
        <v>6</v>
      </c>
      <c r="B11" s="70" t="s">
        <v>18</v>
      </c>
      <c r="C11" s="67" t="s">
        <v>13</v>
      </c>
      <c r="D11" s="67">
        <f>((66.6*2+17*2+6*7)*2)*3.3</f>
        <v>1380.7199999999998</v>
      </c>
      <c r="E11" s="67"/>
      <c r="F11" s="64">
        <f t="shared" si="0"/>
        <v>0</v>
      </c>
    </row>
    <row r="12" spans="1:6" ht="150" x14ac:dyDescent="0.25">
      <c r="A12" s="21">
        <v>7</v>
      </c>
      <c r="B12" s="65" t="s">
        <v>85</v>
      </c>
      <c r="C12" s="21" t="s">
        <v>19</v>
      </c>
      <c r="D12" s="21">
        <v>27</v>
      </c>
      <c r="E12" s="21"/>
      <c r="F12" s="64">
        <f t="shared" si="0"/>
        <v>0</v>
      </c>
    </row>
    <row r="13" spans="1:6" s="10" customFormat="1" ht="105" x14ac:dyDescent="0.25">
      <c r="A13" s="13">
        <v>8</v>
      </c>
      <c r="B13" s="65" t="s">
        <v>64</v>
      </c>
      <c r="C13" s="21" t="s">
        <v>2</v>
      </c>
      <c r="D13" s="21">
        <v>10</v>
      </c>
      <c r="E13" s="21"/>
      <c r="F13" s="64">
        <f>D13*E13</f>
        <v>0</v>
      </c>
    </row>
    <row r="14" spans="1:6" s="10" customFormat="1" x14ac:dyDescent="0.25">
      <c r="A14" s="13">
        <v>9</v>
      </c>
      <c r="B14" s="65" t="s">
        <v>489</v>
      </c>
      <c r="C14" s="21" t="s">
        <v>19</v>
      </c>
      <c r="D14" s="21">
        <v>8</v>
      </c>
      <c r="E14" s="21"/>
      <c r="F14" s="64">
        <f>D14*E14</f>
        <v>0</v>
      </c>
    </row>
    <row r="15" spans="1:6" ht="45" x14ac:dyDescent="0.25">
      <c r="A15" s="21">
        <v>10</v>
      </c>
      <c r="B15" s="65" t="s">
        <v>23</v>
      </c>
      <c r="C15" s="21" t="s">
        <v>16</v>
      </c>
      <c r="D15" s="21">
        <v>1</v>
      </c>
      <c r="E15" s="21"/>
      <c r="F15" s="64">
        <f t="shared" ref="F15:F37" si="1">D15*E15</f>
        <v>0</v>
      </c>
    </row>
    <row r="16" spans="1:6" s="10" customFormat="1" x14ac:dyDescent="0.25">
      <c r="A16" s="77"/>
      <c r="B16" s="499" t="s">
        <v>86</v>
      </c>
      <c r="C16" s="500"/>
      <c r="D16" s="500"/>
      <c r="E16" s="501"/>
      <c r="F16" s="82">
        <f>SUM(F6:F15)</f>
        <v>0</v>
      </c>
    </row>
    <row r="17" spans="1:6" x14ac:dyDescent="0.25">
      <c r="A17" s="2"/>
      <c r="B17" s="3"/>
      <c r="C17" s="1"/>
      <c r="D17" s="1"/>
      <c r="E17" s="1"/>
      <c r="F17" s="5"/>
    </row>
    <row r="18" spans="1:6" ht="28.5" x14ac:dyDescent="0.25">
      <c r="A18" s="101" t="s">
        <v>24</v>
      </c>
      <c r="B18" s="131" t="s">
        <v>510</v>
      </c>
      <c r="C18" s="102"/>
      <c r="D18" s="102"/>
      <c r="E18" s="102"/>
      <c r="F18" s="64"/>
    </row>
    <row r="19" spans="1:6" ht="30" x14ac:dyDescent="0.25">
      <c r="A19" s="21">
        <v>1</v>
      </c>
      <c r="B19" s="39" t="s">
        <v>87</v>
      </c>
      <c r="C19" s="21" t="s">
        <v>73</v>
      </c>
      <c r="D19" s="21">
        <v>1</v>
      </c>
      <c r="E19" s="21"/>
      <c r="F19" s="64">
        <f t="shared" ref="F19:F26" si="2">D19*E19</f>
        <v>0</v>
      </c>
    </row>
    <row r="20" spans="1:6" s="10" customFormat="1" ht="105" x14ac:dyDescent="0.25">
      <c r="A20" s="21">
        <v>2</v>
      </c>
      <c r="B20" s="70" t="s">
        <v>88</v>
      </c>
      <c r="C20" s="32" t="s">
        <v>13</v>
      </c>
      <c r="D20" s="32">
        <f>9.5*9.5*1.15</f>
        <v>103.78749999999999</v>
      </c>
      <c r="E20" s="32"/>
      <c r="F20" s="117">
        <f t="shared" si="2"/>
        <v>0</v>
      </c>
    </row>
    <row r="21" spans="1:6" ht="45" x14ac:dyDescent="0.25">
      <c r="A21" s="21">
        <v>3</v>
      </c>
      <c r="B21" s="39" t="s">
        <v>20</v>
      </c>
      <c r="C21" s="21" t="s">
        <v>13</v>
      </c>
      <c r="D21" s="21">
        <v>81</v>
      </c>
      <c r="E21" s="21"/>
      <c r="F21" s="64">
        <f t="shared" si="2"/>
        <v>0</v>
      </c>
    </row>
    <row r="22" spans="1:6" ht="45" x14ac:dyDescent="0.25">
      <c r="A22" s="21">
        <v>4</v>
      </c>
      <c r="B22" s="39" t="s">
        <v>14</v>
      </c>
      <c r="C22" s="21" t="s">
        <v>17</v>
      </c>
      <c r="D22" s="21">
        <v>40</v>
      </c>
      <c r="E22" s="21"/>
      <c r="F22" s="64">
        <f t="shared" si="2"/>
        <v>0</v>
      </c>
    </row>
    <row r="23" spans="1:6" ht="105" x14ac:dyDescent="0.25">
      <c r="A23" s="21">
        <v>5</v>
      </c>
      <c r="B23" s="70" t="s">
        <v>89</v>
      </c>
      <c r="C23" s="67" t="s">
        <v>15</v>
      </c>
      <c r="D23" s="67">
        <f>9.5*9.5*0.08</f>
        <v>7.22</v>
      </c>
      <c r="E23" s="67"/>
      <c r="F23" s="117">
        <f t="shared" si="2"/>
        <v>0</v>
      </c>
    </row>
    <row r="24" spans="1:6" ht="75" x14ac:dyDescent="0.25">
      <c r="A24" s="21">
        <v>6</v>
      </c>
      <c r="B24" s="70" t="s">
        <v>90</v>
      </c>
      <c r="C24" s="67" t="s">
        <v>13</v>
      </c>
      <c r="D24" s="67">
        <f>10*3.2</f>
        <v>32</v>
      </c>
      <c r="E24" s="67"/>
      <c r="F24" s="117">
        <f t="shared" si="2"/>
        <v>0</v>
      </c>
    </row>
    <row r="25" spans="1:6" ht="60" x14ac:dyDescent="0.25">
      <c r="A25" s="21">
        <v>7</v>
      </c>
      <c r="B25" s="70" t="s">
        <v>18</v>
      </c>
      <c r="C25" s="67" t="s">
        <v>13</v>
      </c>
      <c r="D25" s="67">
        <f>9*4*3.2*2</f>
        <v>230.4</v>
      </c>
      <c r="E25" s="67"/>
      <c r="F25" s="64">
        <f t="shared" si="2"/>
        <v>0</v>
      </c>
    </row>
    <row r="26" spans="1:6" ht="150" x14ac:dyDescent="0.25">
      <c r="A26" s="21">
        <v>8</v>
      </c>
      <c r="B26" s="65" t="s">
        <v>65</v>
      </c>
      <c r="C26" s="21" t="s">
        <v>19</v>
      </c>
      <c r="D26" s="21">
        <v>2</v>
      </c>
      <c r="E26" s="21"/>
      <c r="F26" s="64">
        <f t="shared" si="2"/>
        <v>0</v>
      </c>
    </row>
    <row r="27" spans="1:6" ht="105" x14ac:dyDescent="0.25">
      <c r="A27" s="21">
        <v>9</v>
      </c>
      <c r="B27" s="65" t="s">
        <v>64</v>
      </c>
      <c r="C27" s="21" t="s">
        <v>2</v>
      </c>
      <c r="D27" s="21">
        <v>1</v>
      </c>
      <c r="E27" s="21"/>
      <c r="F27" s="64">
        <f>D27*E27</f>
        <v>0</v>
      </c>
    </row>
    <row r="28" spans="1:6" ht="45" x14ac:dyDescent="0.25">
      <c r="A28" s="21">
        <v>10</v>
      </c>
      <c r="B28" s="65" t="s">
        <v>23</v>
      </c>
      <c r="C28" s="21" t="s">
        <v>16</v>
      </c>
      <c r="D28" s="21">
        <v>1</v>
      </c>
      <c r="E28" s="21"/>
      <c r="F28" s="64">
        <f t="shared" ref="F28" si="3">D28*E28</f>
        <v>0</v>
      </c>
    </row>
    <row r="29" spans="1:6" ht="17.100000000000001" customHeight="1" x14ac:dyDescent="0.25">
      <c r="A29" s="77"/>
      <c r="B29" s="499" t="s">
        <v>310</v>
      </c>
      <c r="C29" s="500"/>
      <c r="D29" s="500"/>
      <c r="E29" s="501"/>
      <c r="F29" s="82">
        <f>SUM(F19:F28)</f>
        <v>0</v>
      </c>
    </row>
    <row r="30" spans="1:6" s="4" customFormat="1" ht="24.95" customHeight="1" x14ac:dyDescent="0.25">
      <c r="A30" s="77"/>
      <c r="B30" s="112"/>
      <c r="C30" s="113"/>
      <c r="D30" s="113"/>
      <c r="E30" s="114"/>
      <c r="F30" s="82"/>
    </row>
    <row r="31" spans="1:6" ht="51.6" customHeight="1" x14ac:dyDescent="0.25">
      <c r="A31" s="77" t="s">
        <v>27</v>
      </c>
      <c r="B31" s="62" t="s">
        <v>236</v>
      </c>
      <c r="C31" s="34"/>
      <c r="D31" s="34"/>
      <c r="E31" s="34"/>
      <c r="F31" s="82">
        <f t="shared" si="1"/>
        <v>0</v>
      </c>
    </row>
    <row r="32" spans="1:6" ht="75" x14ac:dyDescent="0.25">
      <c r="A32" s="13">
        <v>1</v>
      </c>
      <c r="B32" s="39" t="s">
        <v>91</v>
      </c>
      <c r="C32" s="66" t="s">
        <v>73</v>
      </c>
      <c r="D32" s="66">
        <v>1</v>
      </c>
      <c r="E32" s="66"/>
      <c r="F32" s="64">
        <f t="shared" si="1"/>
        <v>0</v>
      </c>
    </row>
    <row r="33" spans="1:6" ht="60" x14ac:dyDescent="0.25">
      <c r="A33" s="13">
        <v>2</v>
      </c>
      <c r="B33" s="39" t="s">
        <v>92</v>
      </c>
      <c r="C33" s="21" t="s">
        <v>13</v>
      </c>
      <c r="D33" s="21">
        <f>(4.2+3*2+2*2)*2.8</f>
        <v>39.76</v>
      </c>
      <c r="E33" s="21"/>
      <c r="F33" s="64">
        <f t="shared" si="1"/>
        <v>0</v>
      </c>
    </row>
    <row r="34" spans="1:6" x14ac:dyDescent="0.25">
      <c r="A34" s="13"/>
      <c r="B34" s="39" t="s">
        <v>93</v>
      </c>
      <c r="C34" s="21"/>
      <c r="D34" s="21">
        <f>(4.2*2+3*2+2*2)*2.8*2</f>
        <v>103.03999999999999</v>
      </c>
      <c r="E34" s="21"/>
      <c r="F34" s="64">
        <f t="shared" si="1"/>
        <v>0</v>
      </c>
    </row>
    <row r="35" spans="1:6" ht="60" x14ac:dyDescent="0.25">
      <c r="A35" s="13">
        <v>3</v>
      </c>
      <c r="B35" s="39" t="s">
        <v>94</v>
      </c>
      <c r="C35" s="21" t="s">
        <v>2</v>
      </c>
      <c r="D35" s="32">
        <v>3</v>
      </c>
      <c r="E35" s="21"/>
      <c r="F35" s="64">
        <f t="shared" si="1"/>
        <v>0</v>
      </c>
    </row>
    <row r="36" spans="1:6" ht="30" x14ac:dyDescent="0.25">
      <c r="A36" s="13">
        <v>4</v>
      </c>
      <c r="B36" s="39" t="s">
        <v>95</v>
      </c>
      <c r="C36" s="21" t="s">
        <v>13</v>
      </c>
      <c r="D36" s="32">
        <f>4.2*3</f>
        <v>12.600000000000001</v>
      </c>
      <c r="E36" s="21"/>
      <c r="F36" s="64">
        <f t="shared" si="1"/>
        <v>0</v>
      </c>
    </row>
    <row r="37" spans="1:6" x14ac:dyDescent="0.25">
      <c r="A37" s="13"/>
      <c r="B37" s="39" t="s">
        <v>96</v>
      </c>
      <c r="C37" s="21" t="s">
        <v>13</v>
      </c>
      <c r="D37" s="32">
        <f>4.2*3</f>
        <v>12.600000000000001</v>
      </c>
      <c r="E37" s="21"/>
      <c r="F37" s="64">
        <f t="shared" si="1"/>
        <v>0</v>
      </c>
    </row>
    <row r="38" spans="1:6" ht="45" x14ac:dyDescent="0.25">
      <c r="A38" s="13">
        <v>5</v>
      </c>
      <c r="B38" s="39" t="s">
        <v>474</v>
      </c>
      <c r="C38" s="21" t="s">
        <v>2</v>
      </c>
      <c r="D38" s="21">
        <v>3</v>
      </c>
      <c r="E38" s="21"/>
      <c r="F38" s="64">
        <f>D38*E38</f>
        <v>0</v>
      </c>
    </row>
    <row r="39" spans="1:6" ht="30" x14ac:dyDescent="0.25">
      <c r="A39" s="13">
        <v>6</v>
      </c>
      <c r="B39" s="39" t="s">
        <v>31</v>
      </c>
      <c r="C39" s="21" t="s">
        <v>2</v>
      </c>
      <c r="D39" s="21">
        <v>2</v>
      </c>
      <c r="E39" s="21"/>
      <c r="F39" s="64">
        <f>D39*E39</f>
        <v>0</v>
      </c>
    </row>
    <row r="40" spans="1:6" ht="100.5" customHeight="1" x14ac:dyDescent="0.25">
      <c r="A40" s="13">
        <v>7</v>
      </c>
      <c r="B40" s="119" t="s">
        <v>97</v>
      </c>
      <c r="C40" s="120" t="s">
        <v>73</v>
      </c>
      <c r="D40" s="120">
        <v>1</v>
      </c>
      <c r="E40" s="121"/>
      <c r="F40" s="64">
        <f>D40*E40</f>
        <v>0</v>
      </c>
    </row>
    <row r="41" spans="1:6" ht="31.5" customHeight="1" x14ac:dyDescent="0.25">
      <c r="A41" s="13">
        <v>8</v>
      </c>
      <c r="B41" s="119" t="s">
        <v>98</v>
      </c>
      <c r="C41" s="120" t="s">
        <v>19</v>
      </c>
      <c r="D41" s="120">
        <v>2</v>
      </c>
      <c r="E41" s="121"/>
      <c r="F41" s="64">
        <f>D41*E41</f>
        <v>0</v>
      </c>
    </row>
    <row r="42" spans="1:6" ht="33.6" customHeight="1" x14ac:dyDescent="0.25">
      <c r="A42" s="13"/>
      <c r="B42" s="119" t="s">
        <v>99</v>
      </c>
      <c r="C42" s="120">
        <v>1</v>
      </c>
      <c r="D42" s="120">
        <v>1</v>
      </c>
      <c r="E42" s="121"/>
      <c r="F42" s="64">
        <f>D42*E42</f>
        <v>0</v>
      </c>
    </row>
    <row r="43" spans="1:6" ht="33.6" customHeight="1" x14ac:dyDescent="0.25">
      <c r="A43" s="13"/>
      <c r="B43" s="119" t="s">
        <v>475</v>
      </c>
      <c r="C43" s="120">
        <v>1</v>
      </c>
      <c r="D43" s="120">
        <v>1</v>
      </c>
      <c r="E43" s="121"/>
      <c r="F43" s="64">
        <f t="shared" ref="F43:F44" si="4">D43*E43</f>
        <v>0</v>
      </c>
    </row>
    <row r="44" spans="1:6" ht="61.5" customHeight="1" x14ac:dyDescent="0.25">
      <c r="A44" s="13"/>
      <c r="B44" s="76" t="s">
        <v>53</v>
      </c>
      <c r="C44" s="120">
        <v>1</v>
      </c>
      <c r="D44" s="120">
        <v>1</v>
      </c>
      <c r="E44" s="121"/>
      <c r="F44" s="64">
        <f t="shared" si="4"/>
        <v>0</v>
      </c>
    </row>
    <row r="45" spans="1:6" x14ac:dyDescent="0.25">
      <c r="A45" s="77"/>
      <c r="B45" s="502" t="s">
        <v>34</v>
      </c>
      <c r="C45" s="503"/>
      <c r="D45" s="503"/>
      <c r="E45" s="504"/>
      <c r="F45" s="82">
        <f>SUM(F32:F42)</f>
        <v>0</v>
      </c>
    </row>
    <row r="46" spans="1:6" s="10" customFormat="1" x14ac:dyDescent="0.25">
      <c r="A46" s="13"/>
      <c r="B46" s="39"/>
      <c r="C46" s="66"/>
      <c r="D46" s="66"/>
      <c r="E46" s="66"/>
      <c r="F46" s="64"/>
    </row>
    <row r="47" spans="1:6" s="10" customFormat="1" x14ac:dyDescent="0.25">
      <c r="A47" s="77" t="s">
        <v>50</v>
      </c>
      <c r="B47" s="56" t="s">
        <v>54</v>
      </c>
      <c r="C47" s="48"/>
      <c r="D47" s="48"/>
      <c r="E47" s="40"/>
      <c r="F47" s="83"/>
    </row>
    <row r="48" spans="1:6" s="10" customFormat="1" ht="75" x14ac:dyDescent="0.25">
      <c r="A48" s="13">
        <v>1</v>
      </c>
      <c r="B48" s="45" t="s">
        <v>55</v>
      </c>
      <c r="C48" s="13" t="s">
        <v>52</v>
      </c>
      <c r="D48" s="14">
        <v>1</v>
      </c>
      <c r="E48" s="40"/>
      <c r="F48" s="36">
        <f t="shared" ref="F48" si="5">D48*E48</f>
        <v>0</v>
      </c>
    </row>
    <row r="49" spans="1:6" s="10" customFormat="1" x14ac:dyDescent="0.25">
      <c r="A49" s="77"/>
      <c r="B49" s="505" t="s">
        <v>56</v>
      </c>
      <c r="C49" s="505"/>
      <c r="D49" s="505"/>
      <c r="E49" s="505"/>
      <c r="F49" s="83">
        <f>SUM(F48)</f>
        <v>0</v>
      </c>
    </row>
    <row r="50" spans="1:6" s="10" customFormat="1" x14ac:dyDescent="0.25">
      <c r="A50" s="77"/>
      <c r="B50" s="363"/>
      <c r="C50" s="363"/>
      <c r="D50" s="363"/>
      <c r="E50" s="363"/>
      <c r="F50" s="83"/>
    </row>
    <row r="51" spans="1:6" s="10" customFormat="1" ht="18.75" x14ac:dyDescent="0.25">
      <c r="A51" s="506" t="s">
        <v>407</v>
      </c>
      <c r="B51" s="507"/>
      <c r="C51" s="507"/>
      <c r="D51" s="507"/>
      <c r="E51" s="507"/>
      <c r="F51" s="508"/>
    </row>
    <row r="52" spans="1:6" s="10" customFormat="1" x14ac:dyDescent="0.25">
      <c r="A52" s="101" t="s">
        <v>22</v>
      </c>
      <c r="B52" s="131" t="s">
        <v>237</v>
      </c>
      <c r="C52" s="66"/>
      <c r="D52" s="66"/>
      <c r="E52" s="66"/>
      <c r="F52" s="82">
        <f>F16</f>
        <v>0</v>
      </c>
    </row>
    <row r="53" spans="1:6" s="10" customFormat="1" ht="28.5" x14ac:dyDescent="0.25">
      <c r="A53" s="101" t="s">
        <v>24</v>
      </c>
      <c r="B53" s="131" t="s">
        <v>511</v>
      </c>
      <c r="C53" s="66"/>
      <c r="D53" s="66"/>
      <c r="E53" s="66"/>
      <c r="F53" s="82">
        <f>F29</f>
        <v>0</v>
      </c>
    </row>
    <row r="54" spans="1:6" s="10" customFormat="1" ht="28.5" x14ac:dyDescent="0.25">
      <c r="A54" s="77" t="s">
        <v>27</v>
      </c>
      <c r="B54" s="62" t="s">
        <v>236</v>
      </c>
      <c r="C54" s="66"/>
      <c r="D54" s="66"/>
      <c r="E54" s="66"/>
      <c r="F54" s="82">
        <f>F45</f>
        <v>0</v>
      </c>
    </row>
    <row r="55" spans="1:6" s="10" customFormat="1" x14ac:dyDescent="0.25">
      <c r="A55" s="77" t="s">
        <v>50</v>
      </c>
      <c r="B55" s="364" t="s">
        <v>54</v>
      </c>
      <c r="C55" s="66"/>
      <c r="D55" s="66"/>
      <c r="E55" s="66"/>
      <c r="F55" s="82">
        <f>F49</f>
        <v>0</v>
      </c>
    </row>
    <row r="56" spans="1:6" s="10" customFormat="1" x14ac:dyDescent="0.25">
      <c r="A56" s="13"/>
      <c r="B56" s="39"/>
      <c r="C56" s="66"/>
      <c r="D56" s="66"/>
      <c r="E56" s="66"/>
      <c r="F56" s="64"/>
    </row>
    <row r="57" spans="1:6" s="10" customFormat="1" ht="15.75" thickBot="1" x14ac:dyDescent="0.3">
      <c r="A57" s="132"/>
      <c r="B57" s="509" t="s">
        <v>49</v>
      </c>
      <c r="C57" s="510"/>
      <c r="D57" s="510"/>
      <c r="E57" s="511"/>
      <c r="F57" s="133">
        <f>F55+F54+F53+F52</f>
        <v>0</v>
      </c>
    </row>
    <row r="58" spans="1:6" x14ac:dyDescent="0.25">
      <c r="A58" s="13"/>
      <c r="B58" s="39"/>
      <c r="C58" s="66"/>
      <c r="D58" s="66"/>
      <c r="E58" s="40"/>
      <c r="F58" s="135"/>
    </row>
    <row r="59" spans="1:6" ht="21" customHeight="1" thickBot="1" x14ac:dyDescent="0.3">
      <c r="A59" s="132"/>
      <c r="B59" s="509"/>
      <c r="C59" s="510"/>
      <c r="D59" s="510"/>
      <c r="E59" s="511"/>
      <c r="F59" s="136"/>
    </row>
    <row r="60" spans="1:6" x14ac:dyDescent="0.25">
      <c r="A60" s="87"/>
      <c r="B60" s="88"/>
      <c r="C60" s="89"/>
      <c r="D60" s="89"/>
      <c r="E60" s="90"/>
      <c r="F60" s="91"/>
    </row>
    <row r="61" spans="1:6" ht="15.75" thickBot="1" x14ac:dyDescent="0.3">
      <c r="A61" s="87"/>
      <c r="B61" s="88"/>
      <c r="C61" s="89"/>
      <c r="D61" s="89"/>
      <c r="E61" s="90"/>
      <c r="F61" s="91"/>
    </row>
    <row r="62" spans="1:6" ht="17.45" customHeight="1" x14ac:dyDescent="0.25">
      <c r="A62" s="92"/>
      <c r="B62" s="93" t="s">
        <v>5</v>
      </c>
      <c r="C62" s="487"/>
      <c r="D62" s="488"/>
      <c r="E62" s="488"/>
      <c r="F62" s="489"/>
    </row>
    <row r="63" spans="1:6" ht="17.45" customHeight="1" x14ac:dyDescent="0.25">
      <c r="A63" s="92"/>
      <c r="B63" s="93" t="s">
        <v>6</v>
      </c>
      <c r="C63" s="490"/>
      <c r="D63" s="491"/>
      <c r="E63" s="491"/>
      <c r="F63" s="492"/>
    </row>
    <row r="64" spans="1:6" ht="17.45" customHeight="1" x14ac:dyDescent="0.25">
      <c r="A64" s="92"/>
      <c r="B64" s="93" t="s">
        <v>7</v>
      </c>
      <c r="C64" s="490"/>
      <c r="D64" s="491"/>
      <c r="E64" s="491"/>
      <c r="F64" s="492"/>
    </row>
    <row r="65" spans="1:6" ht="60" customHeight="1" thickBot="1" x14ac:dyDescent="0.3">
      <c r="A65" s="92"/>
      <c r="B65" s="93" t="s">
        <v>8</v>
      </c>
      <c r="C65" s="493"/>
      <c r="D65" s="494"/>
      <c r="E65" s="494"/>
      <c r="F65" s="495"/>
    </row>
    <row r="66" spans="1:6" ht="8.4499999999999993" customHeight="1" x14ac:dyDescent="0.25">
      <c r="A66" s="11"/>
      <c r="B66" s="6"/>
      <c r="C66" s="8"/>
      <c r="D66" s="8"/>
      <c r="E66" s="15"/>
      <c r="F66" s="17"/>
    </row>
  </sheetData>
  <sheetProtection selectLockedCells="1"/>
  <mergeCells count="13">
    <mergeCell ref="B45:E45"/>
    <mergeCell ref="B1:F1"/>
    <mergeCell ref="B2:F2"/>
    <mergeCell ref="B3:F3"/>
    <mergeCell ref="B16:E16"/>
    <mergeCell ref="B29:E29"/>
    <mergeCell ref="B49:E49"/>
    <mergeCell ref="A51:F51"/>
    <mergeCell ref="C63:F63"/>
    <mergeCell ref="C64:F65"/>
    <mergeCell ref="B59:E59"/>
    <mergeCell ref="C62:F62"/>
    <mergeCell ref="B57:E57"/>
  </mergeCells>
  <pageMargins left="0.7" right="0.7" top="0.75" bottom="1" header="0.3" footer="0.3"/>
  <pageSetup scale="93" fitToHeight="0" orientation="portrait" r:id="rId1"/>
  <headerFooter>
    <oddFoote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B305-87DA-4D08-8ADF-94A679190C0A}">
  <sheetPr>
    <tabColor theme="0"/>
  </sheetPr>
  <dimension ref="A1:G58"/>
  <sheetViews>
    <sheetView topLeftCell="A35" workbookViewId="0">
      <selection activeCell="B12" sqref="B12"/>
    </sheetView>
  </sheetViews>
  <sheetFormatPr defaultRowHeight="15" x14ac:dyDescent="0.25"/>
  <cols>
    <col min="1" max="1" width="11.140625" customWidth="1"/>
    <col min="2" max="2" width="46.28515625" customWidth="1"/>
    <col min="4" max="4" width="12.28515625" customWidth="1"/>
    <col min="6" max="6" width="14.85546875" customWidth="1"/>
    <col min="7" max="7" width="9.140625" bestFit="1"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58</v>
      </c>
      <c r="B3" s="512" t="s">
        <v>491</v>
      </c>
      <c r="C3" s="513"/>
      <c r="D3" s="513"/>
      <c r="E3" s="513"/>
      <c r="F3" s="514"/>
    </row>
    <row r="4" spans="1:6" ht="19.5" thickBot="1" x14ac:dyDescent="0.35">
      <c r="A4" s="107" t="s">
        <v>1</v>
      </c>
      <c r="B4" s="512" t="s">
        <v>263</v>
      </c>
      <c r="C4" s="513"/>
      <c r="D4" s="513"/>
      <c r="E4" s="513"/>
      <c r="F4" s="514"/>
    </row>
    <row r="5" spans="1:6" ht="29.25" thickTop="1" x14ac:dyDescent="0.25">
      <c r="A5" s="96" t="s">
        <v>9</v>
      </c>
      <c r="B5" s="97" t="s">
        <v>10</v>
      </c>
      <c r="C5" s="98" t="s">
        <v>3</v>
      </c>
      <c r="D5" s="98" t="s">
        <v>11</v>
      </c>
      <c r="E5" s="98" t="s">
        <v>12</v>
      </c>
      <c r="F5" s="130" t="s">
        <v>4</v>
      </c>
    </row>
    <row r="6" spans="1:6" ht="28.5" x14ac:dyDescent="0.25">
      <c r="A6" s="101" t="s">
        <v>22</v>
      </c>
      <c r="B6" s="131" t="s">
        <v>264</v>
      </c>
      <c r="C6" s="102"/>
      <c r="D6" s="102"/>
      <c r="E6" s="102"/>
      <c r="F6" s="64"/>
    </row>
    <row r="7" spans="1:6" ht="45" x14ac:dyDescent="0.25">
      <c r="A7" s="21">
        <v>1</v>
      </c>
      <c r="B7" s="39" t="s">
        <v>265</v>
      </c>
      <c r="C7" s="21" t="s">
        <v>16</v>
      </c>
      <c r="D7" s="21">
        <v>1</v>
      </c>
      <c r="E7" s="21"/>
      <c r="F7" s="64">
        <f t="shared" ref="F7:F13" si="0">D7*E7</f>
        <v>0</v>
      </c>
    </row>
    <row r="8" spans="1:6" ht="75" x14ac:dyDescent="0.25">
      <c r="A8" s="13">
        <v>2</v>
      </c>
      <c r="B8" s="39" t="s">
        <v>30</v>
      </c>
      <c r="C8" s="21" t="s">
        <v>13</v>
      </c>
      <c r="D8" s="21">
        <v>435.4</v>
      </c>
      <c r="E8" s="21"/>
      <c r="F8" s="64">
        <f t="shared" si="0"/>
        <v>0</v>
      </c>
    </row>
    <row r="9" spans="1:6" ht="45" x14ac:dyDescent="0.25">
      <c r="A9" s="21">
        <v>3</v>
      </c>
      <c r="B9" s="39" t="s">
        <v>20</v>
      </c>
      <c r="C9" s="21" t="s">
        <v>13</v>
      </c>
      <c r="D9" s="21">
        <v>422.4</v>
      </c>
      <c r="E9" s="21"/>
      <c r="F9" s="64">
        <f t="shared" si="0"/>
        <v>0</v>
      </c>
    </row>
    <row r="10" spans="1:6" ht="45" x14ac:dyDescent="0.25">
      <c r="A10" s="13">
        <v>4</v>
      </c>
      <c r="B10" s="39" t="s">
        <v>14</v>
      </c>
      <c r="C10" s="21" t="s">
        <v>17</v>
      </c>
      <c r="D10" s="21">
        <v>117.6</v>
      </c>
      <c r="E10" s="21"/>
      <c r="F10" s="64">
        <f t="shared" si="0"/>
        <v>0</v>
      </c>
    </row>
    <row r="11" spans="1:6" ht="45" x14ac:dyDescent="0.25">
      <c r="A11" s="21">
        <v>5</v>
      </c>
      <c r="B11" s="39" t="s">
        <v>266</v>
      </c>
      <c r="C11" s="21" t="s">
        <v>13</v>
      </c>
      <c r="D11" s="21">
        <f>D9*0.15</f>
        <v>63.359999999999992</v>
      </c>
      <c r="E11" s="21"/>
      <c r="F11" s="64">
        <f t="shared" si="0"/>
        <v>0</v>
      </c>
    </row>
    <row r="12" spans="1:6" ht="60" x14ac:dyDescent="0.25">
      <c r="A12" s="13">
        <v>6</v>
      </c>
      <c r="B12" s="39" t="s">
        <v>18</v>
      </c>
      <c r="C12" s="67" t="s">
        <v>13</v>
      </c>
      <c r="D12" s="159">
        <f>1025.44</f>
        <v>1025.44</v>
      </c>
      <c r="E12" s="67"/>
      <c r="F12" s="64">
        <f t="shared" si="0"/>
        <v>0</v>
      </c>
    </row>
    <row r="13" spans="1:6" ht="135" x14ac:dyDescent="0.25">
      <c r="A13" s="21">
        <v>7</v>
      </c>
      <c r="B13" s="39" t="s">
        <v>267</v>
      </c>
      <c r="C13" s="21" t="s">
        <v>19</v>
      </c>
      <c r="D13" s="160">
        <v>18</v>
      </c>
      <c r="E13" s="21"/>
      <c r="F13" s="64">
        <f t="shared" si="0"/>
        <v>0</v>
      </c>
    </row>
    <row r="14" spans="1:6" ht="90" x14ac:dyDescent="0.25">
      <c r="A14" s="13">
        <v>8</v>
      </c>
      <c r="B14" s="39" t="s">
        <v>21</v>
      </c>
      <c r="C14" s="21" t="s">
        <v>2</v>
      </c>
      <c r="D14" s="160">
        <v>6</v>
      </c>
      <c r="E14" s="21"/>
      <c r="F14" s="64">
        <f>D14*E14</f>
        <v>0</v>
      </c>
    </row>
    <row r="15" spans="1:6" ht="30" x14ac:dyDescent="0.25">
      <c r="A15" s="21">
        <v>9</v>
      </c>
      <c r="B15" s="39" t="s">
        <v>268</v>
      </c>
      <c r="C15" s="21" t="s">
        <v>19</v>
      </c>
      <c r="D15" s="160">
        <v>6</v>
      </c>
      <c r="E15" s="21"/>
      <c r="F15" s="64">
        <f>D15*E15</f>
        <v>0</v>
      </c>
    </row>
    <row r="16" spans="1:6" ht="45" x14ac:dyDescent="0.25">
      <c r="A16" s="13">
        <v>10</v>
      </c>
      <c r="B16" s="39" t="s">
        <v>23</v>
      </c>
      <c r="C16" s="21" t="s">
        <v>16</v>
      </c>
      <c r="D16" s="160">
        <v>1</v>
      </c>
      <c r="E16" s="21"/>
      <c r="F16" s="64">
        <f t="shared" ref="F16:F36" si="1">D16*E16</f>
        <v>0</v>
      </c>
    </row>
    <row r="17" spans="1:7" x14ac:dyDescent="0.25">
      <c r="A17" s="77"/>
      <c r="B17" s="499" t="s">
        <v>269</v>
      </c>
      <c r="C17" s="500"/>
      <c r="D17" s="500"/>
      <c r="E17" s="501"/>
      <c r="F17" s="82">
        <f>SUM(F7:F16)</f>
        <v>0</v>
      </c>
      <c r="G17" s="30"/>
    </row>
    <row r="18" spans="1:7" x14ac:dyDescent="0.25">
      <c r="A18" s="21"/>
      <c r="B18" s="65"/>
      <c r="C18" s="21"/>
      <c r="D18" s="21"/>
      <c r="E18" s="21"/>
      <c r="F18" s="64"/>
    </row>
    <row r="19" spans="1:7" ht="28.5" x14ac:dyDescent="0.25">
      <c r="A19" s="101" t="s">
        <v>24</v>
      </c>
      <c r="B19" s="131" t="s">
        <v>270</v>
      </c>
      <c r="C19" s="102"/>
      <c r="D19" s="102"/>
      <c r="E19" s="102"/>
      <c r="F19" s="64"/>
    </row>
    <row r="20" spans="1:7" ht="45" x14ac:dyDescent="0.25">
      <c r="A20" s="21">
        <v>1</v>
      </c>
      <c r="B20" s="39" t="s">
        <v>271</v>
      </c>
      <c r="C20" s="21" t="s">
        <v>16</v>
      </c>
      <c r="D20" s="21">
        <v>1</v>
      </c>
      <c r="E20" s="21"/>
      <c r="F20" s="64">
        <f t="shared" ref="F20:F26" si="2">D20*E20</f>
        <v>0</v>
      </c>
    </row>
    <row r="21" spans="1:7" ht="75" x14ac:dyDescent="0.25">
      <c r="A21" s="21">
        <v>2</v>
      </c>
      <c r="B21" s="39" t="s">
        <v>30</v>
      </c>
      <c r="C21" s="32" t="s">
        <v>13</v>
      </c>
      <c r="D21" s="32">
        <v>153</v>
      </c>
      <c r="E21" s="32"/>
      <c r="F21" s="117">
        <f t="shared" si="2"/>
        <v>0</v>
      </c>
    </row>
    <row r="22" spans="1:7" ht="45" x14ac:dyDescent="0.25">
      <c r="A22" s="21">
        <v>3</v>
      </c>
      <c r="B22" s="39" t="s">
        <v>20</v>
      </c>
      <c r="C22" s="21" t="s">
        <v>13</v>
      </c>
      <c r="D22" s="21">
        <v>136</v>
      </c>
      <c r="E22" s="21"/>
      <c r="F22" s="64">
        <f t="shared" si="2"/>
        <v>0</v>
      </c>
    </row>
    <row r="23" spans="1:7" ht="45" x14ac:dyDescent="0.25">
      <c r="A23" s="21">
        <v>4</v>
      </c>
      <c r="B23" s="39" t="s">
        <v>14</v>
      </c>
      <c r="C23" s="21" t="s">
        <v>17</v>
      </c>
      <c r="D23" s="21">
        <v>53</v>
      </c>
      <c r="E23" s="21"/>
      <c r="F23" s="64">
        <f t="shared" si="2"/>
        <v>0</v>
      </c>
    </row>
    <row r="24" spans="1:7" ht="45" x14ac:dyDescent="0.25">
      <c r="A24" s="21">
        <v>5</v>
      </c>
      <c r="B24" s="39" t="s">
        <v>272</v>
      </c>
      <c r="C24" s="67" t="s">
        <v>15</v>
      </c>
      <c r="D24" s="67">
        <f>D22*0.15</f>
        <v>20.399999999999999</v>
      </c>
      <c r="E24" s="67"/>
      <c r="F24" s="117">
        <f t="shared" si="2"/>
        <v>0</v>
      </c>
    </row>
    <row r="25" spans="1:7" ht="60" x14ac:dyDescent="0.25">
      <c r="A25" s="21">
        <v>6</v>
      </c>
      <c r="B25" s="39" t="s">
        <v>18</v>
      </c>
      <c r="C25" s="67" t="s">
        <v>13</v>
      </c>
      <c r="D25" s="67">
        <v>558.96</v>
      </c>
      <c r="E25" s="67"/>
      <c r="F25" s="64">
        <f t="shared" si="2"/>
        <v>0</v>
      </c>
    </row>
    <row r="26" spans="1:7" ht="135" x14ac:dyDescent="0.25">
      <c r="A26" s="21">
        <v>7</v>
      </c>
      <c r="B26" s="39" t="s">
        <v>267</v>
      </c>
      <c r="C26" s="21" t="s">
        <v>19</v>
      </c>
      <c r="D26" s="21">
        <v>12</v>
      </c>
      <c r="E26" s="21"/>
      <c r="F26" s="64">
        <f t="shared" si="2"/>
        <v>0</v>
      </c>
    </row>
    <row r="27" spans="1:7" ht="90" x14ac:dyDescent="0.25">
      <c r="A27" s="21">
        <v>8</v>
      </c>
      <c r="B27" s="39" t="s">
        <v>21</v>
      </c>
      <c r="C27" s="21" t="s">
        <v>2</v>
      </c>
      <c r="D27" s="21">
        <v>2</v>
      </c>
      <c r="E27" s="21"/>
      <c r="F27" s="64">
        <f>D27*E27</f>
        <v>0</v>
      </c>
    </row>
    <row r="28" spans="1:7" ht="30" x14ac:dyDescent="0.25">
      <c r="A28" s="21">
        <v>9</v>
      </c>
      <c r="B28" s="39" t="s">
        <v>476</v>
      </c>
      <c r="C28" s="21" t="s">
        <v>2</v>
      </c>
      <c r="D28" s="21">
        <v>2</v>
      </c>
      <c r="E28" s="21"/>
      <c r="F28" s="64">
        <f>D28*E28</f>
        <v>0</v>
      </c>
    </row>
    <row r="29" spans="1:7" ht="45" x14ac:dyDescent="0.25">
      <c r="A29" s="21">
        <v>10</v>
      </c>
      <c r="B29" s="39" t="s">
        <v>273</v>
      </c>
      <c r="C29" s="21" t="s">
        <v>16</v>
      </c>
      <c r="D29" s="21">
        <v>1</v>
      </c>
      <c r="E29" s="21"/>
      <c r="F29" s="64">
        <f t="shared" ref="F29" si="3">D29*E29</f>
        <v>0</v>
      </c>
    </row>
    <row r="30" spans="1:7" x14ac:dyDescent="0.25">
      <c r="A30" s="77"/>
      <c r="B30" s="499" t="s">
        <v>288</v>
      </c>
      <c r="C30" s="500"/>
      <c r="D30" s="500"/>
      <c r="E30" s="501"/>
      <c r="F30" s="82">
        <f>SUM(F20:F29)</f>
        <v>0</v>
      </c>
    </row>
    <row r="31" spans="1:7" x14ac:dyDescent="0.25">
      <c r="A31" s="77"/>
      <c r="B31" s="112"/>
      <c r="C31" s="113"/>
      <c r="D31" s="113"/>
      <c r="E31" s="114"/>
      <c r="F31" s="82"/>
    </row>
    <row r="32" spans="1:7" ht="28.5" x14ac:dyDescent="0.25">
      <c r="A32" s="77" t="s">
        <v>27</v>
      </c>
      <c r="B32" s="62" t="s">
        <v>274</v>
      </c>
      <c r="C32" s="34"/>
      <c r="D32" s="34"/>
      <c r="E32" s="34"/>
      <c r="F32" s="82">
        <f t="shared" si="1"/>
        <v>0</v>
      </c>
    </row>
    <row r="33" spans="1:6" ht="45" x14ac:dyDescent="0.25">
      <c r="A33" s="13">
        <v>1</v>
      </c>
      <c r="B33" s="39" t="s">
        <v>275</v>
      </c>
      <c r="C33" s="66" t="s">
        <v>13</v>
      </c>
      <c r="D33" s="66">
        <v>92</v>
      </c>
      <c r="E33" s="66"/>
      <c r="F33" s="64">
        <f t="shared" si="1"/>
        <v>0</v>
      </c>
    </row>
    <row r="34" spans="1:6" ht="45" x14ac:dyDescent="0.25">
      <c r="A34" s="13">
        <v>2</v>
      </c>
      <c r="B34" s="39" t="s">
        <v>276</v>
      </c>
      <c r="C34" s="21" t="s">
        <v>13</v>
      </c>
      <c r="D34" s="21">
        <v>110.2</v>
      </c>
      <c r="E34" s="21"/>
      <c r="F34" s="64">
        <f t="shared" si="1"/>
        <v>0</v>
      </c>
    </row>
    <row r="35" spans="1:6" ht="30" x14ac:dyDescent="0.25">
      <c r="A35" s="13">
        <v>3</v>
      </c>
      <c r="B35" s="39" t="s">
        <v>25</v>
      </c>
      <c r="C35" s="21" t="s">
        <v>2</v>
      </c>
      <c r="D35" s="32">
        <v>5</v>
      </c>
      <c r="E35" s="21"/>
      <c r="F35" s="64">
        <f t="shared" si="1"/>
        <v>0</v>
      </c>
    </row>
    <row r="36" spans="1:6" ht="30" x14ac:dyDescent="0.25">
      <c r="A36" s="13">
        <v>4</v>
      </c>
      <c r="B36" s="39" t="s">
        <v>28</v>
      </c>
      <c r="C36" s="21" t="s">
        <v>16</v>
      </c>
      <c r="D36" s="32">
        <v>1</v>
      </c>
      <c r="E36" s="21"/>
      <c r="F36" s="64">
        <f t="shared" si="1"/>
        <v>0</v>
      </c>
    </row>
    <row r="37" spans="1:6" ht="30" x14ac:dyDescent="0.25">
      <c r="A37" s="13">
        <v>5</v>
      </c>
      <c r="B37" s="39" t="s">
        <v>277</v>
      </c>
      <c r="C37" s="21" t="s">
        <v>2</v>
      </c>
      <c r="D37" s="21">
        <v>5</v>
      </c>
      <c r="E37" s="21"/>
      <c r="F37" s="64">
        <f>D37*E37</f>
        <v>0</v>
      </c>
    </row>
    <row r="38" spans="1:6" ht="30" x14ac:dyDescent="0.25">
      <c r="A38" s="13">
        <v>6</v>
      </c>
      <c r="B38" s="39" t="s">
        <v>278</v>
      </c>
      <c r="C38" s="21" t="s">
        <v>2</v>
      </c>
      <c r="D38" s="21">
        <v>3</v>
      </c>
      <c r="E38" s="21"/>
      <c r="F38" s="64">
        <f>D38*E38</f>
        <v>0</v>
      </c>
    </row>
    <row r="39" spans="1:6" ht="30" x14ac:dyDescent="0.25">
      <c r="A39" s="13">
        <v>7</v>
      </c>
      <c r="B39" s="39" t="s">
        <v>279</v>
      </c>
      <c r="C39" s="120" t="s">
        <v>73</v>
      </c>
      <c r="D39" s="120">
        <v>1</v>
      </c>
      <c r="E39" s="121"/>
      <c r="F39" s="64">
        <f>D39*E39</f>
        <v>0</v>
      </c>
    </row>
    <row r="40" spans="1:6" x14ac:dyDescent="0.25">
      <c r="A40" s="77"/>
      <c r="B40" s="502" t="s">
        <v>477</v>
      </c>
      <c r="C40" s="503"/>
      <c r="D40" s="503"/>
      <c r="E40" s="504"/>
      <c r="F40" s="82">
        <f>SUM(F33:F39)</f>
        <v>0</v>
      </c>
    </row>
    <row r="41" spans="1:6" x14ac:dyDescent="0.25">
      <c r="A41" s="77"/>
      <c r="B41" s="78"/>
      <c r="C41" s="79"/>
      <c r="D41" s="79"/>
      <c r="E41" s="80"/>
      <c r="F41" s="82"/>
    </row>
    <row r="42" spans="1:6" x14ac:dyDescent="0.25">
      <c r="A42" s="77" t="s">
        <v>409</v>
      </c>
      <c r="B42" s="56" t="s">
        <v>54</v>
      </c>
      <c r="C42" s="48"/>
      <c r="D42" s="48"/>
      <c r="E42" s="40"/>
      <c r="F42" s="83"/>
    </row>
    <row r="43" spans="1:6" ht="60" x14ac:dyDescent="0.25">
      <c r="A43" s="13">
        <v>1</v>
      </c>
      <c r="B43" s="45" t="s">
        <v>55</v>
      </c>
      <c r="C43" s="13" t="s">
        <v>52</v>
      </c>
      <c r="D43" s="14">
        <v>1</v>
      </c>
      <c r="E43" s="40"/>
      <c r="F43" s="36">
        <f t="shared" ref="F43" si="4">D43*E43</f>
        <v>0</v>
      </c>
    </row>
    <row r="44" spans="1:6" x14ac:dyDescent="0.25">
      <c r="A44" s="77"/>
      <c r="B44" s="505" t="s">
        <v>56</v>
      </c>
      <c r="C44" s="505"/>
      <c r="D44" s="505"/>
      <c r="E44" s="505"/>
      <c r="F44" s="83">
        <f>SUM(F43)</f>
        <v>0</v>
      </c>
    </row>
    <row r="45" spans="1:6" x14ac:dyDescent="0.25">
      <c r="A45" s="77"/>
      <c r="B45" s="78"/>
      <c r="C45" s="79"/>
      <c r="D45" s="80"/>
      <c r="E45" s="363"/>
      <c r="F45" s="83"/>
    </row>
    <row r="46" spans="1:6" ht="18.75" x14ac:dyDescent="0.25">
      <c r="A46" s="506" t="s">
        <v>407</v>
      </c>
      <c r="B46" s="507"/>
      <c r="C46" s="507"/>
      <c r="D46" s="507"/>
      <c r="E46" s="507"/>
      <c r="F46" s="508"/>
    </row>
    <row r="47" spans="1:6" x14ac:dyDescent="0.25">
      <c r="A47" s="101" t="s">
        <v>22</v>
      </c>
      <c r="B47" s="131" t="s">
        <v>177</v>
      </c>
      <c r="C47" s="66"/>
      <c r="D47" s="66"/>
      <c r="E47" s="66"/>
      <c r="F47" s="82">
        <f>F17+F30</f>
        <v>0</v>
      </c>
    </row>
    <row r="48" spans="1:6" ht="28.5" x14ac:dyDescent="0.25">
      <c r="A48" s="77" t="s">
        <v>24</v>
      </c>
      <c r="B48" s="62" t="s">
        <v>274</v>
      </c>
      <c r="C48" s="66"/>
      <c r="D48" s="66"/>
      <c r="E48" s="66"/>
      <c r="F48" s="82">
        <f>F40</f>
        <v>0</v>
      </c>
    </row>
    <row r="49" spans="1:6" x14ac:dyDescent="0.25">
      <c r="A49" s="77" t="s">
        <v>409</v>
      </c>
      <c r="B49" s="364" t="s">
        <v>54</v>
      </c>
      <c r="C49" s="66"/>
      <c r="D49" s="66"/>
      <c r="E49" s="66"/>
      <c r="F49" s="82">
        <f>F44</f>
        <v>0</v>
      </c>
    </row>
    <row r="50" spans="1:6" x14ac:dyDescent="0.25">
      <c r="A50" s="13"/>
      <c r="B50" s="39"/>
      <c r="C50" s="66"/>
      <c r="D50" s="66"/>
      <c r="E50" s="66"/>
      <c r="F50" s="64"/>
    </row>
    <row r="51" spans="1:6" ht="15.75" thickBot="1" x14ac:dyDescent="0.3">
      <c r="A51" s="132"/>
      <c r="B51" s="509" t="s">
        <v>49</v>
      </c>
      <c r="C51" s="510"/>
      <c r="D51" s="510"/>
      <c r="E51" s="511"/>
      <c r="F51" s="133">
        <f>F49+F48+F47</f>
        <v>0</v>
      </c>
    </row>
    <row r="52" spans="1:6" x14ac:dyDescent="0.25">
      <c r="A52" s="87"/>
      <c r="B52" s="88"/>
      <c r="C52" s="89"/>
      <c r="D52" s="89"/>
      <c r="E52" s="89"/>
      <c r="F52" s="126"/>
    </row>
    <row r="53" spans="1:6" ht="15.75" thickBot="1" x14ac:dyDescent="0.3">
      <c r="A53" s="87"/>
      <c r="B53" s="88"/>
      <c r="C53" s="89"/>
      <c r="D53" s="89"/>
      <c r="E53" s="89"/>
      <c r="F53" s="126"/>
    </row>
    <row r="54" spans="1:6" x14ac:dyDescent="0.25">
      <c r="A54" s="92"/>
      <c r="B54" s="93" t="s">
        <v>5</v>
      </c>
      <c r="C54" s="487"/>
      <c r="D54" s="488"/>
      <c r="E54" s="488"/>
      <c r="F54" s="489"/>
    </row>
    <row r="55" spans="1:6" x14ac:dyDescent="0.25">
      <c r="A55" s="92"/>
      <c r="B55" s="93" t="s">
        <v>6</v>
      </c>
      <c r="C55" s="490"/>
      <c r="D55" s="491"/>
      <c r="E55" s="491"/>
      <c r="F55" s="492"/>
    </row>
    <row r="56" spans="1:6" x14ac:dyDescent="0.25">
      <c r="A56" s="92"/>
      <c r="B56" s="93" t="s">
        <v>7</v>
      </c>
      <c r="C56" s="490"/>
      <c r="D56" s="491"/>
      <c r="E56" s="491"/>
      <c r="F56" s="492"/>
    </row>
    <row r="57" spans="1:6" ht="15.75" thickBot="1" x14ac:dyDescent="0.3">
      <c r="A57" s="92"/>
      <c r="B57" s="93" t="s">
        <v>8</v>
      </c>
      <c r="C57" s="493"/>
      <c r="D57" s="494"/>
      <c r="E57" s="494"/>
      <c r="F57" s="495"/>
    </row>
    <row r="58" spans="1:6" x14ac:dyDescent="0.25">
      <c r="A58" s="87"/>
      <c r="B58" s="88"/>
      <c r="C58" s="89"/>
      <c r="D58" s="89"/>
      <c r="E58" s="89"/>
      <c r="F58" s="126"/>
    </row>
  </sheetData>
  <mergeCells count="12">
    <mergeCell ref="B40:E40"/>
    <mergeCell ref="B2:F2"/>
    <mergeCell ref="B3:F3"/>
    <mergeCell ref="B4:F4"/>
    <mergeCell ref="B17:E17"/>
    <mergeCell ref="B30:E30"/>
    <mergeCell ref="B51:E51"/>
    <mergeCell ref="C54:F54"/>
    <mergeCell ref="C55:F55"/>
    <mergeCell ref="C56:F57"/>
    <mergeCell ref="B44:E44"/>
    <mergeCell ref="A46:F4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EB1E0-4647-4322-837B-500230482350}">
  <dimension ref="A1:G40"/>
  <sheetViews>
    <sheetView topLeftCell="A22" workbookViewId="0">
      <selection activeCell="D27" sqref="D27"/>
    </sheetView>
  </sheetViews>
  <sheetFormatPr defaultRowHeight="15" x14ac:dyDescent="0.25"/>
  <cols>
    <col min="1" max="1" width="10.5703125" customWidth="1"/>
    <col min="2" max="2" width="40.42578125" customWidth="1"/>
    <col min="4" max="4" width="11.140625" customWidth="1"/>
    <col min="6" max="6" width="15.140625" customWidth="1"/>
    <col min="7" max="7" width="9.140625" bestFit="1" customWidth="1"/>
  </cols>
  <sheetData>
    <row r="1" spans="1:6" ht="15.75" thickBot="1" x14ac:dyDescent="0.3"/>
    <row r="2" spans="1:6" ht="19.5" thickBot="1" x14ac:dyDescent="0.35">
      <c r="A2" s="106" t="s">
        <v>0</v>
      </c>
      <c r="B2" s="512" t="s">
        <v>57</v>
      </c>
      <c r="C2" s="513"/>
      <c r="D2" s="513"/>
      <c r="E2" s="513"/>
      <c r="F2" s="514"/>
    </row>
    <row r="3" spans="1:6" ht="19.5" thickBot="1" x14ac:dyDescent="0.35">
      <c r="A3" s="106" t="s">
        <v>58</v>
      </c>
      <c r="B3" s="512" t="s">
        <v>280</v>
      </c>
      <c r="C3" s="513"/>
      <c r="D3" s="513"/>
      <c r="E3" s="513"/>
      <c r="F3" s="514"/>
    </row>
    <row r="4" spans="1:6" ht="19.5" thickBot="1" x14ac:dyDescent="0.35">
      <c r="A4" s="107" t="s">
        <v>1</v>
      </c>
      <c r="B4" s="530" t="s">
        <v>263</v>
      </c>
      <c r="C4" s="531"/>
      <c r="D4" s="531"/>
      <c r="E4" s="531"/>
      <c r="F4" s="532"/>
    </row>
    <row r="5" spans="1:6" ht="32.25" thickTop="1" x14ac:dyDescent="0.25">
      <c r="A5" s="58" t="s">
        <v>9</v>
      </c>
      <c r="B5" s="59" t="s">
        <v>10</v>
      </c>
      <c r="C5" s="60" t="s">
        <v>3</v>
      </c>
      <c r="D5" s="60" t="s">
        <v>11</v>
      </c>
      <c r="E5" s="60" t="s">
        <v>12</v>
      </c>
      <c r="F5" s="109" t="s">
        <v>4</v>
      </c>
    </row>
    <row r="6" spans="1:6" ht="31.5" x14ac:dyDescent="0.25">
      <c r="A6" s="61" t="s">
        <v>22</v>
      </c>
      <c r="B6" s="110" t="s">
        <v>281</v>
      </c>
      <c r="C6" s="63"/>
      <c r="D6" s="63"/>
      <c r="E6" s="63"/>
      <c r="F6" s="64"/>
    </row>
    <row r="7" spans="1:6" ht="45" x14ac:dyDescent="0.25">
      <c r="A7" s="49">
        <v>1</v>
      </c>
      <c r="B7" s="39" t="s">
        <v>265</v>
      </c>
      <c r="C7" s="73" t="s">
        <v>16</v>
      </c>
      <c r="D7" s="73">
        <v>1</v>
      </c>
      <c r="E7" s="73">
        <v>500</v>
      </c>
      <c r="F7" s="64">
        <f t="shared" ref="F7:F13" si="0">D7*E7</f>
        <v>500</v>
      </c>
    </row>
    <row r="8" spans="1:6" ht="75" x14ac:dyDescent="0.25">
      <c r="A8" s="13">
        <v>2</v>
      </c>
      <c r="B8" s="39" t="s">
        <v>30</v>
      </c>
      <c r="C8" s="21" t="s">
        <v>13</v>
      </c>
      <c r="D8" s="21">
        <v>498.75</v>
      </c>
      <c r="E8" s="21">
        <v>10</v>
      </c>
      <c r="F8" s="64">
        <f t="shared" si="0"/>
        <v>4987.5</v>
      </c>
    </row>
    <row r="9" spans="1:6" ht="45" x14ac:dyDescent="0.25">
      <c r="A9" s="49">
        <v>3</v>
      </c>
      <c r="B9" s="39" t="s">
        <v>20</v>
      </c>
      <c r="C9" s="21" t="s">
        <v>13</v>
      </c>
      <c r="D9" s="21">
        <v>441</v>
      </c>
      <c r="E9" s="21">
        <v>8</v>
      </c>
      <c r="F9" s="64">
        <f t="shared" si="0"/>
        <v>3528</v>
      </c>
    </row>
    <row r="10" spans="1:6" ht="45" x14ac:dyDescent="0.25">
      <c r="A10" s="13">
        <v>4</v>
      </c>
      <c r="B10" s="39" t="s">
        <v>14</v>
      </c>
      <c r="C10" s="21" t="s">
        <v>17</v>
      </c>
      <c r="D10" s="21">
        <v>120</v>
      </c>
      <c r="E10" s="21">
        <v>4</v>
      </c>
      <c r="F10" s="64">
        <f t="shared" si="0"/>
        <v>480</v>
      </c>
    </row>
    <row r="11" spans="1:6" s="20" customFormat="1" ht="165" x14ac:dyDescent="0.25">
      <c r="A11" s="161">
        <v>5</v>
      </c>
      <c r="B11" s="162" t="s">
        <v>282</v>
      </c>
      <c r="C11" s="163" t="s">
        <v>13</v>
      </c>
      <c r="D11" s="163">
        <v>44.1</v>
      </c>
      <c r="E11" s="163">
        <v>250</v>
      </c>
      <c r="F11" s="164">
        <f t="shared" si="0"/>
        <v>11025</v>
      </c>
    </row>
    <row r="12" spans="1:6" ht="60" x14ac:dyDescent="0.25">
      <c r="A12" s="13">
        <v>6</v>
      </c>
      <c r="B12" s="39" t="s">
        <v>18</v>
      </c>
      <c r="C12" s="111" t="s">
        <v>13</v>
      </c>
      <c r="D12" s="158">
        <v>1131.52</v>
      </c>
      <c r="E12" s="111">
        <v>3</v>
      </c>
      <c r="F12" s="64">
        <f t="shared" si="0"/>
        <v>3394.56</v>
      </c>
    </row>
    <row r="13" spans="1:6" ht="150" x14ac:dyDescent="0.25">
      <c r="A13" s="165">
        <v>7</v>
      </c>
      <c r="B13" s="39" t="s">
        <v>267</v>
      </c>
      <c r="C13" s="32" t="s">
        <v>19</v>
      </c>
      <c r="D13" s="158">
        <v>21</v>
      </c>
      <c r="E13" s="32">
        <v>125</v>
      </c>
      <c r="F13" s="117">
        <f t="shared" si="0"/>
        <v>2625</v>
      </c>
    </row>
    <row r="14" spans="1:6" ht="105" x14ac:dyDescent="0.25">
      <c r="A14" s="13">
        <v>8</v>
      </c>
      <c r="B14" s="39" t="s">
        <v>21</v>
      </c>
      <c r="C14" s="21" t="s">
        <v>2</v>
      </c>
      <c r="D14" s="158">
        <v>7</v>
      </c>
      <c r="E14" s="21">
        <v>150</v>
      </c>
      <c r="F14" s="64">
        <f>D14*E14</f>
        <v>1050</v>
      </c>
    </row>
    <row r="15" spans="1:6" ht="135" x14ac:dyDescent="0.25">
      <c r="A15" s="49">
        <v>9</v>
      </c>
      <c r="B15" s="39" t="s">
        <v>283</v>
      </c>
      <c r="C15" s="21" t="s">
        <v>16</v>
      </c>
      <c r="D15" s="158">
        <v>1</v>
      </c>
      <c r="E15" s="21">
        <v>500</v>
      </c>
      <c r="F15" s="64">
        <f>D15*E15</f>
        <v>500</v>
      </c>
    </row>
    <row r="16" spans="1:6" ht="45" x14ac:dyDescent="0.25">
      <c r="A16" s="13">
        <v>10</v>
      </c>
      <c r="B16" s="39" t="s">
        <v>273</v>
      </c>
      <c r="C16" s="21" t="s">
        <v>16</v>
      </c>
      <c r="D16" s="158">
        <v>1</v>
      </c>
      <c r="E16" s="21">
        <v>500</v>
      </c>
      <c r="F16" s="64">
        <f t="shared" ref="F16:F22" si="1">D16*E16</f>
        <v>500</v>
      </c>
    </row>
    <row r="17" spans="1:7" x14ac:dyDescent="0.25">
      <c r="A17" s="77"/>
      <c r="B17" s="499" t="s">
        <v>60</v>
      </c>
      <c r="C17" s="500"/>
      <c r="D17" s="500"/>
      <c r="E17" s="501"/>
      <c r="F17" s="82">
        <f>SUM(F7:F16)</f>
        <v>28590.06</v>
      </c>
      <c r="G17" s="30"/>
    </row>
    <row r="18" spans="1:7" x14ac:dyDescent="0.25">
      <c r="A18" s="49"/>
      <c r="B18" s="65"/>
      <c r="C18" s="21"/>
      <c r="D18" s="21"/>
      <c r="E18" s="21"/>
      <c r="F18" s="64"/>
    </row>
    <row r="19" spans="1:7" x14ac:dyDescent="0.25">
      <c r="A19" s="77"/>
      <c r="B19" s="112"/>
      <c r="C19" s="113"/>
      <c r="D19" s="113"/>
      <c r="E19" s="114"/>
      <c r="F19" s="82"/>
    </row>
    <row r="20" spans="1:7" ht="42.75" x14ac:dyDescent="0.25">
      <c r="A20" s="77" t="s">
        <v>24</v>
      </c>
      <c r="B20" s="62" t="s">
        <v>284</v>
      </c>
      <c r="C20" s="34"/>
      <c r="D20" s="34"/>
      <c r="E20" s="34"/>
      <c r="F20" s="82">
        <f t="shared" si="1"/>
        <v>0</v>
      </c>
    </row>
    <row r="21" spans="1:7" ht="30" x14ac:dyDescent="0.25">
      <c r="A21" s="13">
        <v>1</v>
      </c>
      <c r="B21" s="39" t="s">
        <v>285</v>
      </c>
      <c r="C21" s="21" t="s">
        <v>2</v>
      </c>
      <c r="D21" s="32">
        <v>1</v>
      </c>
      <c r="E21" s="21">
        <v>100</v>
      </c>
      <c r="F21" s="64">
        <f t="shared" si="1"/>
        <v>100</v>
      </c>
    </row>
    <row r="22" spans="1:7" ht="45" x14ac:dyDescent="0.25">
      <c r="A22" s="13">
        <v>2</v>
      </c>
      <c r="B22" s="39" t="s">
        <v>286</v>
      </c>
      <c r="C22" s="21" t="s">
        <v>16</v>
      </c>
      <c r="D22" s="32">
        <v>1</v>
      </c>
      <c r="E22" s="21">
        <v>500</v>
      </c>
      <c r="F22" s="64">
        <f t="shared" si="1"/>
        <v>500</v>
      </c>
    </row>
    <row r="23" spans="1:7" ht="30" x14ac:dyDescent="0.25">
      <c r="A23" s="13">
        <v>3</v>
      </c>
      <c r="B23" s="39" t="s">
        <v>287</v>
      </c>
      <c r="C23" s="21" t="s">
        <v>2</v>
      </c>
      <c r="D23" s="21">
        <v>1</v>
      </c>
      <c r="E23" s="21">
        <v>150</v>
      </c>
      <c r="F23" s="64">
        <f>D23*E23</f>
        <v>150</v>
      </c>
    </row>
    <row r="24" spans="1:7" x14ac:dyDescent="0.25">
      <c r="A24" s="77"/>
      <c r="B24" s="502" t="s">
        <v>34</v>
      </c>
      <c r="C24" s="503"/>
      <c r="D24" s="503"/>
      <c r="E24" s="504"/>
      <c r="F24" s="82">
        <f>SUM(F21:F23)</f>
        <v>750</v>
      </c>
    </row>
    <row r="25" spans="1:7" x14ac:dyDescent="0.25">
      <c r="A25" s="77"/>
      <c r="B25" s="78"/>
      <c r="C25" s="79"/>
      <c r="D25" s="79"/>
      <c r="E25" s="80"/>
      <c r="F25" s="82"/>
    </row>
    <row r="26" spans="1:7" x14ac:dyDescent="0.25">
      <c r="A26" s="77" t="s">
        <v>27</v>
      </c>
      <c r="B26" s="41" t="s">
        <v>32</v>
      </c>
      <c r="C26" s="34"/>
      <c r="D26" s="34"/>
      <c r="E26" s="34"/>
      <c r="F26" s="82"/>
    </row>
    <row r="27" spans="1:7" ht="150" x14ac:dyDescent="0.25">
      <c r="A27" s="13">
        <v>1</v>
      </c>
      <c r="B27" s="39" t="s">
        <v>82</v>
      </c>
      <c r="C27" s="21" t="s">
        <v>29</v>
      </c>
      <c r="D27" s="66">
        <v>75</v>
      </c>
      <c r="E27" s="66">
        <v>120</v>
      </c>
      <c r="F27" s="64">
        <f>D27*E27</f>
        <v>9000</v>
      </c>
    </row>
    <row r="28" spans="1:7" x14ac:dyDescent="0.25">
      <c r="A28" s="13"/>
      <c r="B28" s="502" t="s">
        <v>33</v>
      </c>
      <c r="C28" s="503"/>
      <c r="D28" s="504"/>
      <c r="E28" s="66"/>
      <c r="F28" s="82">
        <f>SUM(F27)</f>
        <v>9000</v>
      </c>
    </row>
    <row r="29" spans="1:7" x14ac:dyDescent="0.25">
      <c r="A29" s="77" t="s">
        <v>50</v>
      </c>
      <c r="B29" s="56" t="s">
        <v>54</v>
      </c>
      <c r="C29" s="48"/>
      <c r="D29" s="48"/>
      <c r="E29" s="40"/>
      <c r="F29" s="83"/>
    </row>
    <row r="30" spans="1:7" ht="55.5" customHeight="1" x14ac:dyDescent="0.25">
      <c r="A30" s="13">
        <v>1</v>
      </c>
      <c r="B30" s="45" t="s">
        <v>55</v>
      </c>
      <c r="C30" s="13" t="s">
        <v>52</v>
      </c>
      <c r="D30" s="14">
        <v>1</v>
      </c>
      <c r="E30" s="40">
        <v>200</v>
      </c>
      <c r="F30" s="36">
        <f t="shared" ref="F30" si="2">D30*E30</f>
        <v>200</v>
      </c>
    </row>
    <row r="31" spans="1:7" x14ac:dyDescent="0.25">
      <c r="A31" s="77"/>
      <c r="B31" s="502" t="s">
        <v>56</v>
      </c>
      <c r="C31" s="503"/>
      <c r="D31" s="503"/>
      <c r="E31" s="504"/>
      <c r="F31" s="83">
        <f>SUM(F30)</f>
        <v>200</v>
      </c>
    </row>
    <row r="32" spans="1:7" x14ac:dyDescent="0.25">
      <c r="A32" s="13"/>
      <c r="B32" s="39"/>
      <c r="C32" s="66"/>
      <c r="D32" s="66"/>
      <c r="E32" s="66"/>
      <c r="F32" s="84"/>
    </row>
    <row r="33" spans="1:6" ht="16.5" thickBot="1" x14ac:dyDescent="0.3">
      <c r="A33" s="85"/>
      <c r="B33" s="515" t="s">
        <v>49</v>
      </c>
      <c r="C33" s="516"/>
      <c r="D33" s="516"/>
      <c r="E33" s="517"/>
      <c r="F33" s="86">
        <f>F28+F24+F17+F31</f>
        <v>38540.06</v>
      </c>
    </row>
    <row r="34" spans="1:6" x14ac:dyDescent="0.25">
      <c r="A34" s="87"/>
      <c r="B34" s="88"/>
      <c r="C34" s="89"/>
      <c r="D34" s="89"/>
      <c r="E34" s="89"/>
      <c r="F34" s="126"/>
    </row>
    <row r="35" spans="1:6" ht="15.75" thickBot="1" x14ac:dyDescent="0.3">
      <c r="A35" s="87"/>
      <c r="B35" s="88"/>
      <c r="C35" s="89"/>
      <c r="D35" s="89"/>
      <c r="E35" s="89"/>
      <c r="F35" s="126"/>
    </row>
    <row r="36" spans="1:6" x14ac:dyDescent="0.25">
      <c r="A36" s="92"/>
      <c r="B36" s="93" t="s">
        <v>5</v>
      </c>
      <c r="C36" s="518"/>
      <c r="D36" s="519"/>
      <c r="E36" s="519"/>
      <c r="F36" s="520"/>
    </row>
    <row r="37" spans="1:6" x14ac:dyDescent="0.25">
      <c r="A37" s="92"/>
      <c r="B37" s="93" t="s">
        <v>6</v>
      </c>
      <c r="C37" s="521"/>
      <c r="D37" s="522"/>
      <c r="E37" s="522"/>
      <c r="F37" s="523"/>
    </row>
    <row r="38" spans="1:6" x14ac:dyDescent="0.25">
      <c r="A38" s="92"/>
      <c r="B38" s="93" t="s">
        <v>7</v>
      </c>
      <c r="C38" s="524"/>
      <c r="D38" s="525"/>
      <c r="E38" s="525"/>
      <c r="F38" s="526"/>
    </row>
    <row r="39" spans="1:6" ht="15.75" thickBot="1" x14ac:dyDescent="0.3">
      <c r="A39" s="92"/>
      <c r="B39" s="93" t="s">
        <v>8</v>
      </c>
      <c r="C39" s="527"/>
      <c r="D39" s="528"/>
      <c r="E39" s="528"/>
      <c r="F39" s="529"/>
    </row>
    <row r="40" spans="1:6" x14ac:dyDescent="0.25">
      <c r="A40" s="87"/>
      <c r="B40" s="88"/>
      <c r="C40" s="89"/>
      <c r="D40" s="89"/>
      <c r="E40" s="89"/>
      <c r="F40" s="126"/>
    </row>
  </sheetData>
  <mergeCells count="11">
    <mergeCell ref="B28:D28"/>
    <mergeCell ref="B2:F2"/>
    <mergeCell ref="B3:F3"/>
    <mergeCell ref="B4:F4"/>
    <mergeCell ref="B17:E17"/>
    <mergeCell ref="B24:E24"/>
    <mergeCell ref="B33:E33"/>
    <mergeCell ref="C36:F36"/>
    <mergeCell ref="C37:F37"/>
    <mergeCell ref="C38:F39"/>
    <mergeCell ref="B31:E3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B3EE2056D1E6242BAECF14C69B7901A" ma:contentTypeVersion="18" ma:contentTypeDescription="Create a new document." ma:contentTypeScope="" ma:versionID="3662eb8b40c7a68a08ab806051b84017">
  <xsd:schema xmlns:xsd="http://www.w3.org/2001/XMLSchema" xmlns:xs="http://www.w3.org/2001/XMLSchema" xmlns:p="http://schemas.microsoft.com/office/2006/metadata/properties" xmlns:ns2="30d047a2-3580-4b1e-b0eb-ffc1098fe17d" xmlns:ns3="b85ec66a-2531-4186-8643-0d26a33d32fb" targetNamespace="http://schemas.microsoft.com/office/2006/metadata/properties" ma:root="true" ma:fieldsID="2de551f4aa6438636223ed799fb2fdf0" ns2:_="" ns3:_="">
    <xsd:import namespace="30d047a2-3580-4b1e-b0eb-ffc1098fe17d"/>
    <xsd:import namespace="b85ec66a-2531-4186-8643-0d26a33d32f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d047a2-3580-4b1e-b0eb-ffc1098fe1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b23ec234-cbf3-4cc2-a0ae-2bfafc310c72"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5ec66a-2531-4186-8643-0d26a33d32f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5812ba0f-76ea-471a-8ef5-0e985347e771}" ma:internalName="TaxCatchAll" ma:showField="CatchAllData" ma:web="b85ec66a-2531-4186-8643-0d26a33d32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0d047a2-3580-4b1e-b0eb-ffc1098fe17d">
      <Terms xmlns="http://schemas.microsoft.com/office/infopath/2007/PartnerControls"/>
    </lcf76f155ced4ddcb4097134ff3c332f>
    <TaxCatchAll xmlns="b85ec66a-2531-4186-8643-0d26a33d32fb" xsi:nil="true"/>
  </documentManagement>
</p:properties>
</file>

<file path=customXml/itemProps1.xml><?xml version="1.0" encoding="utf-8"?>
<ds:datastoreItem xmlns:ds="http://schemas.openxmlformats.org/officeDocument/2006/customXml" ds:itemID="{E213E433-2376-45F3-9D9E-63B75DC87A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d047a2-3580-4b1e-b0eb-ffc1098fe17d"/>
    <ds:schemaRef ds:uri="b85ec66a-2531-4186-8643-0d26a33d32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D37D61-E1D8-4EFA-A5C6-96B61DECDF8F}">
  <ds:schemaRefs>
    <ds:schemaRef ds:uri="http://schemas.microsoft.com/sharepoint/v3/contenttype/forms"/>
  </ds:schemaRefs>
</ds:datastoreItem>
</file>

<file path=customXml/itemProps3.xml><?xml version="1.0" encoding="utf-8"?>
<ds:datastoreItem xmlns:ds="http://schemas.openxmlformats.org/officeDocument/2006/customXml" ds:itemID="{A5C9C48F-2F34-4BA4-AEAF-2425DD95EED7}">
  <ds:schemaRefs>
    <ds:schemaRef ds:uri="http://www.w3.org/XML/1998/namespace"/>
    <ds:schemaRef ds:uri="http://purl.org/dc/terms/"/>
    <ds:schemaRef ds:uri="http://schemas.microsoft.com/office/2006/metadata/properties"/>
    <ds:schemaRef ds:uri="b85ec66a-2531-4186-8643-0d26a33d32fb"/>
    <ds:schemaRef ds:uri="http://schemas.openxmlformats.org/package/2006/metadata/core-properties"/>
    <ds:schemaRef ds:uri="http://purl.org/dc/elements/1.1/"/>
    <ds:schemaRef ds:uri="http://schemas.microsoft.com/office/2006/documentManagement/types"/>
    <ds:schemaRef ds:uri="30d047a2-3580-4b1e-b0eb-ffc1098fe17d"/>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3</vt:i4>
      </vt:variant>
    </vt:vector>
  </HeadingPairs>
  <TitlesOfParts>
    <vt:vector size="23" baseType="lpstr">
      <vt:lpstr>General Preliminaries </vt:lpstr>
      <vt:lpstr>Summary B.code</vt:lpstr>
      <vt:lpstr>Intervention summary </vt:lpstr>
      <vt:lpstr>Comparison</vt:lpstr>
      <vt:lpstr>School list</vt:lpstr>
      <vt:lpstr>Rugta </vt:lpstr>
      <vt:lpstr>Farjano</vt:lpstr>
      <vt:lpstr>Ganaane</vt:lpstr>
      <vt:lpstr>Guulwade</vt:lpstr>
      <vt:lpstr>Horseed</vt:lpstr>
      <vt:lpstr>Horyaal</vt:lpstr>
      <vt:lpstr>Ex-Minriino</vt:lpstr>
      <vt:lpstr>New Wamo </vt:lpstr>
      <vt:lpstr>Wamo st</vt:lpstr>
      <vt:lpstr>SummaryL6</vt:lpstr>
      <vt:lpstr>GPS</vt:lpstr>
      <vt:lpstr>Iftin</vt:lpstr>
      <vt:lpstr>Ahmed B Hambal</vt:lpstr>
      <vt:lpstr>Ahmed Gurey</vt:lpstr>
      <vt:lpstr>Al-Huda W.nur</vt:lpstr>
      <vt:lpstr>Farjano!Print_Area</vt:lpstr>
      <vt:lpstr>'New Wamo '!Print_Area</vt:lpstr>
      <vt:lpstr>'Rugta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Ibrahim, Idiris Ismail</dc:creator>
  <cp:keywords/>
  <dc:description/>
  <cp:lastModifiedBy>Hassan4, Abdullahi</cp:lastModifiedBy>
  <cp:revision/>
  <dcterms:created xsi:type="dcterms:W3CDTF">2022-05-29T17:56:46Z</dcterms:created>
  <dcterms:modified xsi:type="dcterms:W3CDTF">2025-05-27T10:14:46Z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0x0101007B3EE2056D1E6242BAECF14C69B7901A</vt:lpwstr>
  </property>
  <property fmtid="{D5CDD505-2E9C-101B-9397-08002B2CF9AE}" pid="3" name="MediaServiceImageTags">
    <vt:lpwstr/>
  </property>
</Properties>
</file>